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9450" windowHeight="6210" tabRatio="599" activeTab="1"/>
  </bookViews>
  <sheets>
    <sheet name="Read me" sheetId="1" r:id="rId1"/>
    <sheet name="ENVIRONMENTAL IMPACT" sheetId="2" r:id="rId2"/>
    <sheet name="END USERS, COST &amp; EMISSIONS" sheetId="3" r:id="rId3"/>
    <sheet name="info" sheetId="4" state="hidden" r:id="rId4"/>
    <sheet name="user2 calculation" sheetId="5" state="hidden" r:id="rId5"/>
    <sheet name="user1 calculation" sheetId="6" state="hidden" r:id="rId6"/>
    <sheet name="1 Data" sheetId="7" state="hidden" r:id="rId7"/>
    <sheet name="2 Appliances Market" sheetId="8" state="hidden" r:id="rId8"/>
    <sheet name="3 Fuel data" sheetId="9" state="hidden" r:id="rId9"/>
    <sheet name="4 El Conversion factors" sheetId="10" state="hidden" r:id="rId10"/>
    <sheet name="5 Energy costs" sheetId="11" state="hidden" r:id="rId11"/>
    <sheet name="6 Total CO2 by country" sheetId="12" state="hidden" r:id="rId12"/>
    <sheet name="7 Share heating on CO2" sheetId="13" state="hidden" r:id="rId13"/>
    <sheet name="8 Graph (old)" sheetId="14" state="hidden" r:id="rId14"/>
  </sheets>
  <externalReferences>
    <externalReference r:id="rId17"/>
  </externalReferences>
  <definedNames/>
  <calcPr fullCalcOnLoad="1"/>
</workbook>
</file>

<file path=xl/comments11.xml><?xml version="1.0" encoding="utf-8"?>
<comments xmlns="http://schemas.openxmlformats.org/spreadsheetml/2006/main">
  <authors>
    <author>Jean Schweitzer</author>
  </authors>
  <commentList>
    <comment ref="E31" authorId="0">
      <text>
        <r>
          <rPr>
            <b/>
            <sz val="8"/>
            <rFont val="Tahoma"/>
            <family val="0"/>
          </rPr>
          <t xml:space="preserve">Jean Schweitzer:
default value 
</t>
        </r>
        <r>
          <rPr>
            <sz val="8"/>
            <rFont val="Tahoma"/>
            <family val="0"/>
          </rPr>
          <t xml:space="preserve">
</t>
        </r>
      </text>
    </comment>
    <comment ref="H31" authorId="0">
      <text>
        <r>
          <rPr>
            <b/>
            <sz val="8"/>
            <rFont val="Tahoma"/>
            <family val="0"/>
          </rPr>
          <t xml:space="preserve">Jean Schweitzer:
default value 
</t>
        </r>
        <r>
          <rPr>
            <sz val="8"/>
            <rFont val="Tahoma"/>
            <family val="0"/>
          </rPr>
          <t xml:space="preserve">
</t>
        </r>
      </text>
    </comment>
    <comment ref="L31" authorId="0">
      <text>
        <r>
          <rPr>
            <b/>
            <sz val="8"/>
            <rFont val="Tahoma"/>
            <family val="0"/>
          </rPr>
          <t xml:space="preserve">Jean Schweitzer:
default value 
</t>
        </r>
        <r>
          <rPr>
            <sz val="8"/>
            <rFont val="Tahoma"/>
            <family val="0"/>
          </rPr>
          <t xml:space="preserve">
</t>
        </r>
      </text>
    </comment>
  </commentList>
</comments>
</file>

<file path=xl/sharedStrings.xml><?xml version="1.0" encoding="utf-8"?>
<sst xmlns="http://schemas.openxmlformats.org/spreadsheetml/2006/main" count="898" uniqueCount="555">
  <si>
    <t>Part 1 Appliances efficiency database</t>
  </si>
  <si>
    <t xml:space="preserve"> - Atmospheric boiler modulating</t>
  </si>
  <si>
    <t xml:space="preserve"> - Atmospheric boiler non modulating</t>
  </si>
  <si>
    <t xml:space="preserve"> - Traditional flue balanced non modulating</t>
  </si>
  <si>
    <t xml:space="preserve"> - Traditional flue balanced modulating</t>
  </si>
  <si>
    <t xml:space="preserve"> - Condensing flue balanced non modulating</t>
  </si>
  <si>
    <t xml:space="preserve"> - Condensing flue balanced modulating</t>
  </si>
  <si>
    <t>Natural gas boilers</t>
  </si>
  <si>
    <t>Other gas appliances</t>
  </si>
  <si>
    <t xml:space="preserve"> - Gas heat pumps</t>
  </si>
  <si>
    <t xml:space="preserve"> - Micro CHP stearling</t>
  </si>
  <si>
    <t xml:space="preserve"> - Micro CHP fuel cells</t>
  </si>
  <si>
    <t>Heating</t>
  </si>
  <si>
    <t>Fuel oil appliances</t>
  </si>
  <si>
    <t xml:space="preserve"> - Traditional boiler</t>
  </si>
  <si>
    <t xml:space="preserve"> - Condensing boiler</t>
  </si>
  <si>
    <t xml:space="preserve"> - Fuel oil radiators</t>
  </si>
  <si>
    <t>Electrical appliances</t>
  </si>
  <si>
    <t xml:space="preserve"> - El radiators</t>
  </si>
  <si>
    <t xml:space="preserve"> - El Boiler</t>
  </si>
  <si>
    <t>Wood appliances</t>
  </si>
  <si>
    <t xml:space="preserve"> - Wood Boiler without ventilator</t>
  </si>
  <si>
    <t xml:space="preserve"> - Wood Boiler with ventilator</t>
  </si>
  <si>
    <t xml:space="preserve"> - Wood - other</t>
  </si>
  <si>
    <t>min</t>
  </si>
  <si>
    <t>max</t>
  </si>
  <si>
    <t xml:space="preserve"> - Domestic heat exchanger</t>
  </si>
  <si>
    <t xml:space="preserve">Part load Efficiency </t>
  </si>
  <si>
    <t>Hot water production</t>
  </si>
  <si>
    <t>Cooking</t>
  </si>
  <si>
    <t>Cooling</t>
  </si>
  <si>
    <t>To be developed</t>
  </si>
  <si>
    <t>Technology</t>
  </si>
  <si>
    <t>Relevant parameters</t>
  </si>
  <si>
    <t>CH boilers</t>
  </si>
  <si>
    <t>Rad. Sizing</t>
  </si>
  <si>
    <t>Boiler Sizing</t>
  </si>
  <si>
    <t>a</t>
  </si>
  <si>
    <t>b</t>
  </si>
  <si>
    <t>Model</t>
  </si>
  <si>
    <t>kWh/y</t>
  </si>
  <si>
    <t>E1</t>
  </si>
  <si>
    <t>E2</t>
  </si>
  <si>
    <t>El1</t>
  </si>
  <si>
    <t>El2</t>
  </si>
  <si>
    <t>Definitions</t>
  </si>
  <si>
    <t xml:space="preserve"> = Radiator heat delivery 50/70  / Max heat demand</t>
  </si>
  <si>
    <t xml:space="preserve"> = Boiler max heat output  / Max heat demand</t>
  </si>
  <si>
    <t>Power (output)</t>
  </si>
  <si>
    <t>Models</t>
  </si>
  <si>
    <t>Efficiency =</t>
  </si>
  <si>
    <t>x =</t>
  </si>
  <si>
    <t>Model details (exemple)</t>
  </si>
  <si>
    <t xml:space="preserve">x.E1c + y.E2c </t>
  </si>
  <si>
    <t>For a well sized (*) instalation the efficiency is considered as 1/3 Full load + 2/3 Part load efficiency</t>
  </si>
  <si>
    <t>The efficiency of the table above are corrected from the influence of the heat distribution system oversizing</t>
  </si>
  <si>
    <t>Correction Nominal efficiencies</t>
  </si>
  <si>
    <t xml:space="preserve">Full load Efficiency </t>
  </si>
  <si>
    <t>E1c = E1 + Cor</t>
  </si>
  <si>
    <t>E2c = E2 + Cor</t>
  </si>
  <si>
    <t>Annual efficiency</t>
  </si>
  <si>
    <t>(*) Boiler Size &lt; 1.5 max heat demand</t>
  </si>
  <si>
    <t>Hypothesis</t>
  </si>
  <si>
    <t>y = 1-x</t>
  </si>
  <si>
    <t>To be developed (not a priority)</t>
  </si>
  <si>
    <t>INPUT</t>
  </si>
  <si>
    <t>CALCULATION</t>
  </si>
  <si>
    <t>E1avg</t>
  </si>
  <si>
    <t>E2 avg</t>
  </si>
  <si>
    <t>Correction</t>
  </si>
  <si>
    <t>Average</t>
  </si>
  <si>
    <t>cor =</t>
  </si>
  <si>
    <t xml:space="preserve">for a = </t>
  </si>
  <si>
    <t>%</t>
  </si>
  <si>
    <t>Cor = A1.a-B1</t>
  </si>
  <si>
    <t>A1 =</t>
  </si>
  <si>
    <t>B1 =</t>
  </si>
  <si>
    <t>A2 =</t>
  </si>
  <si>
    <t>B2 =</t>
  </si>
  <si>
    <t xml:space="preserve">  - for b= </t>
  </si>
  <si>
    <t xml:space="preserve">  - for b=</t>
  </si>
  <si>
    <t>x = A2.b + B2</t>
  </si>
  <si>
    <t>Cor =</t>
  </si>
  <si>
    <t>E1c =</t>
  </si>
  <si>
    <t xml:space="preserve">E2c = </t>
  </si>
  <si>
    <t>Annual eff</t>
  </si>
  <si>
    <t>y =</t>
  </si>
  <si>
    <t>Part 2 Installation  &amp; user model</t>
  </si>
  <si>
    <t>User input</t>
  </si>
  <si>
    <t xml:space="preserve"> =&gt;</t>
  </si>
  <si>
    <t>From database</t>
  </si>
  <si>
    <t>Calculations</t>
  </si>
  <si>
    <t>El.</t>
  </si>
  <si>
    <t>Hi net%</t>
  </si>
  <si>
    <t>Gas</t>
  </si>
  <si>
    <t>Coal</t>
  </si>
  <si>
    <t>Hydro</t>
  </si>
  <si>
    <t>Nuclear</t>
  </si>
  <si>
    <t>Such models need to be developed for each technology. Models shall have a certain consistancy.</t>
  </si>
  <si>
    <t>Therefore we will need at a certain stage to make a kind of validation exercise</t>
  </si>
  <si>
    <t>This can be costly and we migh see if there is a financing possibility</t>
  </si>
  <si>
    <t>kWh/year</t>
  </si>
  <si>
    <t>From previous calculations</t>
  </si>
  <si>
    <t>Heat demand</t>
  </si>
  <si>
    <t xml:space="preserve"> (*)KWh</t>
  </si>
  <si>
    <t>Currency</t>
  </si>
  <si>
    <t>EURO</t>
  </si>
  <si>
    <t>Electricity(*)</t>
  </si>
  <si>
    <t>Gas (*)</t>
  </si>
  <si>
    <t>Fuel oil (*)</t>
  </si>
  <si>
    <t>(*) per kWh</t>
  </si>
  <si>
    <t>Total</t>
  </si>
  <si>
    <t>Calculations: costs</t>
  </si>
  <si>
    <t>El  efficiency Full (el. appliances)</t>
  </si>
  <si>
    <t>District heating</t>
  </si>
  <si>
    <t>Rmk:</t>
  </si>
  <si>
    <t xml:space="preserve">to have in the table the avg cost, and open for the user to type a more accurate figure </t>
  </si>
  <si>
    <t>when he has such</t>
  </si>
  <si>
    <t>We cant take into account all possible tarifs for end user cost. So we will suggest</t>
  </si>
  <si>
    <t>Electricity conversion factors database</t>
  </si>
  <si>
    <t>Country</t>
  </si>
  <si>
    <t>Denmark</t>
  </si>
  <si>
    <t>MODEL USED</t>
  </si>
  <si>
    <t>A</t>
  </si>
  <si>
    <t>wood</t>
  </si>
  <si>
    <t>Eff high</t>
  </si>
  <si>
    <t>Eff low</t>
  </si>
  <si>
    <t>Tolerance on nom FL Efficiency</t>
  </si>
  <si>
    <t>Difference</t>
  </si>
  <si>
    <t>range %</t>
  </si>
  <si>
    <t>Calculated Cost</t>
  </si>
  <si>
    <t>Cost max</t>
  </si>
  <si>
    <t>Cost min</t>
  </si>
  <si>
    <t>The tolerance on resulst is based on</t>
  </si>
  <si>
    <t xml:space="preserve">FL efficiency only, this can be further more </t>
  </si>
  <si>
    <t>developed to have PL and el cons as well</t>
  </si>
  <si>
    <t>B</t>
  </si>
  <si>
    <r>
      <t>Model A: Central Heating boiler model</t>
    </r>
    <r>
      <rPr>
        <b/>
        <i/>
        <sz val="12"/>
        <rFont val="Arial"/>
        <family val="2"/>
      </rPr>
      <t xml:space="preserve"> (fuel oil, gas and wood boiler)</t>
    </r>
    <r>
      <rPr>
        <b/>
        <i/>
        <sz val="14"/>
        <rFont val="Arial"/>
        <family val="2"/>
      </rPr>
      <t>.</t>
    </r>
    <r>
      <rPr>
        <b/>
        <i/>
        <sz val="10"/>
        <rFont val="Arial"/>
        <family val="2"/>
      </rPr>
      <t xml:space="preserve"> Definitions and simple model exemple</t>
    </r>
  </si>
  <si>
    <r>
      <t>Model B: Gas Radiator</t>
    </r>
    <r>
      <rPr>
        <b/>
        <i/>
        <sz val="10"/>
        <rFont val="Arial"/>
        <family val="2"/>
      </rPr>
      <t xml:space="preserve"> </t>
    </r>
  </si>
  <si>
    <t>The nominal efficiency is used without any correction</t>
  </si>
  <si>
    <t xml:space="preserve">The user is supposed to have no influence on the </t>
  </si>
  <si>
    <t>appliance efficiency</t>
  </si>
  <si>
    <t xml:space="preserve"> - Gas Radiator (flue less)</t>
  </si>
  <si>
    <t xml:space="preserve"> - Gas Radiator (flued)</t>
  </si>
  <si>
    <t>C</t>
  </si>
  <si>
    <r>
      <t>Model C: Electrical appliances</t>
    </r>
    <r>
      <rPr>
        <b/>
        <i/>
        <sz val="10"/>
        <rFont val="Arial"/>
        <family val="2"/>
      </rPr>
      <t xml:space="preserve"> </t>
    </r>
  </si>
  <si>
    <t>Gas appliances</t>
  </si>
  <si>
    <t>Coal &amp; renewable shall be added</t>
  </si>
  <si>
    <t xml:space="preserve"> - Heating costs</t>
  </si>
  <si>
    <t xml:space="preserve">Calculations: Payback time </t>
  </si>
  <si>
    <t xml:space="preserve">The user shall give </t>
  </si>
  <si>
    <t>the appliance  cost</t>
  </si>
  <si>
    <t>the installation cost</t>
  </si>
  <si>
    <t>the type of the existing appliance used</t>
  </si>
  <si>
    <t>We calculate</t>
  </si>
  <si>
    <t>the energy savings</t>
  </si>
  <si>
    <t>the cost savings</t>
  </si>
  <si>
    <t>the payback time</t>
  </si>
  <si>
    <t xml:space="preserve"> (not a priority)</t>
  </si>
  <si>
    <t>the type of the new appliance to be installed</t>
  </si>
  <si>
    <t>Nominal efficiency Full load and part load (*)</t>
  </si>
  <si>
    <t>(*) Net efficiency measured for an avg water temperature of 50C</t>
  </si>
  <si>
    <t>NON ELECTRICAL APPLIANCES</t>
  </si>
  <si>
    <t>Full load Efficiency  (% net)</t>
  </si>
  <si>
    <t>Part load Efficiency   (% net)</t>
  </si>
  <si>
    <t>El. efficiency range  (%)</t>
  </si>
  <si>
    <t>El. consumption range  (kWh)</t>
  </si>
  <si>
    <t>IEA DATABASE on Retail prices for selected countries</t>
  </si>
  <si>
    <t>Light fuel oil for household</t>
  </si>
  <si>
    <t>dollars/unit</t>
  </si>
  <si>
    <t>1000l</t>
  </si>
  <si>
    <t>Unit</t>
  </si>
  <si>
    <t>Austria</t>
  </si>
  <si>
    <t>NG for household</t>
  </si>
  <si>
    <t>Electricity household</t>
  </si>
  <si>
    <t>kWh</t>
  </si>
  <si>
    <t>Belgium</t>
  </si>
  <si>
    <t>missing</t>
  </si>
  <si>
    <t>France</t>
  </si>
  <si>
    <t>Germany</t>
  </si>
  <si>
    <t>Italy</t>
  </si>
  <si>
    <t>Japan</t>
  </si>
  <si>
    <t>NL</t>
  </si>
  <si>
    <t>Poland</t>
  </si>
  <si>
    <t>Portugal</t>
  </si>
  <si>
    <t>Spain</t>
  </si>
  <si>
    <t>UK</t>
  </si>
  <si>
    <t>USA</t>
  </si>
  <si>
    <t>http://www.videncenter.dk/Groenne%20trae%20haefte/Groen_Engelsk/Kap_16.pdf</t>
  </si>
  <si>
    <t>CONVERSION</t>
  </si>
  <si>
    <t>COST BY KWh</t>
  </si>
  <si>
    <t>Dollar</t>
  </si>
  <si>
    <t>1 l Fuel oil</t>
  </si>
  <si>
    <t>$/kWh</t>
  </si>
  <si>
    <t>Gas   Net/gross</t>
  </si>
  <si>
    <t>10^7  kcal Gcv</t>
  </si>
  <si>
    <t>1 kcal =</t>
  </si>
  <si>
    <t>Wh</t>
  </si>
  <si>
    <t>calculated from the tables above</t>
  </si>
  <si>
    <t>Population</t>
  </si>
  <si>
    <t>million</t>
  </si>
  <si>
    <t>Mt</t>
  </si>
  <si>
    <t>CO2 emissions</t>
  </si>
  <si>
    <t>Oil</t>
  </si>
  <si>
    <t>Electricity consumption</t>
  </si>
  <si>
    <t>TWh</t>
  </si>
  <si>
    <t>Wind</t>
  </si>
  <si>
    <t>FROM " THE BOILER &amp; HEATING SYSTEM MARKETS IN THE EU" BRG consult 2006 (first draft)</t>
  </si>
  <si>
    <t>in 1000 of appliances (all energies)</t>
  </si>
  <si>
    <t>AUSTRIA</t>
  </si>
  <si>
    <t>BELGIUM</t>
  </si>
  <si>
    <t>CROATIA</t>
  </si>
  <si>
    <t>CZECH REPUBLIC</t>
  </si>
  <si>
    <t>DENMARK</t>
  </si>
  <si>
    <t>FRANCE</t>
  </si>
  <si>
    <t>GERMANY</t>
  </si>
  <si>
    <t>ITALY</t>
  </si>
  <si>
    <t>JAPAN</t>
  </si>
  <si>
    <t>NETHERLANDS</t>
  </si>
  <si>
    <t>POLAND</t>
  </si>
  <si>
    <t>SLOVAKIA</t>
  </si>
  <si>
    <t>SPAIN</t>
  </si>
  <si>
    <t>SWITZERLAND</t>
  </si>
  <si>
    <t>USA domestic</t>
  </si>
  <si>
    <t>USA commercial</t>
  </si>
  <si>
    <t>CHINA</t>
  </si>
  <si>
    <t>Total EU market 2004</t>
  </si>
  <si>
    <t>All together</t>
  </si>
  <si>
    <t>Boiler</t>
  </si>
  <si>
    <t>Water heaters</t>
  </si>
  <si>
    <t>Park heating system</t>
  </si>
  <si>
    <t>District</t>
  </si>
  <si>
    <t>Collective</t>
  </si>
  <si>
    <t>Individual electric</t>
  </si>
  <si>
    <t>Individual dry gas</t>
  </si>
  <si>
    <t>Individual wet (CH)</t>
  </si>
  <si>
    <t>No central heating</t>
  </si>
  <si>
    <t>total</t>
  </si>
  <si>
    <t>Park wet CH</t>
  </si>
  <si>
    <t>wall hung non cond</t>
  </si>
  <si>
    <t>wall hung cond</t>
  </si>
  <si>
    <t>floor standing non cond</t>
  </si>
  <si>
    <t>floor standing cond</t>
  </si>
  <si>
    <t xml:space="preserve">Jet burner (oil) </t>
  </si>
  <si>
    <t xml:space="preserve">Jet burner (gas) </t>
  </si>
  <si>
    <t>solid fuels</t>
  </si>
  <si>
    <t>heat pumps</t>
  </si>
  <si>
    <t>electrical boilers</t>
  </si>
  <si>
    <t>Sales CH boilers</t>
  </si>
  <si>
    <t xml:space="preserve">Jet burner (oil &amp; gas) </t>
  </si>
  <si>
    <t>electric</t>
  </si>
  <si>
    <t>VALIDATION gas boilers</t>
  </si>
  <si>
    <t>total gas boiler park according BRG ref year 2004</t>
  </si>
  <si>
    <t>same according IGU study ref year 2000</t>
  </si>
  <si>
    <t>Difference (%)</t>
  </si>
  <si>
    <r>
      <t>Model D: CHP</t>
    </r>
    <r>
      <rPr>
        <b/>
        <i/>
        <sz val="10"/>
        <rFont val="Arial"/>
        <family val="2"/>
      </rPr>
      <t xml:space="preserve"> </t>
    </r>
  </si>
  <si>
    <t xml:space="preserve">We suppose the CHP unit is controled so </t>
  </si>
  <si>
    <t>to run for the production of heat and not el.</t>
  </si>
  <si>
    <t xml:space="preserve">The electricity is supposed to be a by-product </t>
  </si>
  <si>
    <t xml:space="preserve">entireley used on the site of production (house) </t>
  </si>
  <si>
    <t>The result is expressed as a negative use of</t>
  </si>
  <si>
    <t>electricity (for simplification sake)</t>
  </si>
  <si>
    <t>Gas or fuel oil used(*)</t>
  </si>
  <si>
    <t>Electricity used(*)</t>
  </si>
  <si>
    <t>Annual energy consumption</t>
  </si>
  <si>
    <t>D</t>
  </si>
  <si>
    <t>CO2an = 1.977*Pin an*CO2n*vfd/(Hn*100)</t>
  </si>
  <si>
    <t>CO2n:</t>
  </si>
  <si>
    <t>Stoechim dry CO2 (%)</t>
  </si>
  <si>
    <t>Pin_an: annual heat input</t>
  </si>
  <si>
    <t>Vfd:</t>
  </si>
  <si>
    <t>stoechimetric gas volume (m3/m3)</t>
  </si>
  <si>
    <t>1.977 = CO2 density (kg/m3)</t>
  </si>
  <si>
    <t>H_n: gas net calorific value</t>
  </si>
  <si>
    <t>kJ/nm3</t>
  </si>
  <si>
    <t>NG1</t>
  </si>
  <si>
    <t>NG2</t>
  </si>
  <si>
    <t>FO1</t>
  </si>
  <si>
    <t>CO2n</t>
  </si>
  <si>
    <t>G20</t>
  </si>
  <si>
    <t xml:space="preserve">avg value </t>
  </si>
  <si>
    <t>G25</t>
  </si>
  <si>
    <t>Butane</t>
  </si>
  <si>
    <t>Propane</t>
  </si>
  <si>
    <t>Fuel Oil</t>
  </si>
  <si>
    <t>WOOD</t>
  </si>
  <si>
    <t>LPG1</t>
  </si>
  <si>
    <t>LPG2</t>
  </si>
  <si>
    <t>WO</t>
  </si>
  <si>
    <t>m3/m3</t>
  </si>
  <si>
    <t>to be determined</t>
  </si>
  <si>
    <t>Annual emmisions with boilers</t>
  </si>
  <si>
    <t>t</t>
  </si>
  <si>
    <t>annual boiler emissions (avg)</t>
  </si>
  <si>
    <t>Number of boilers installed (gas &amp; fuel oil)</t>
  </si>
  <si>
    <t>% of national CO2 emissions</t>
  </si>
  <si>
    <t>Appliances</t>
  </si>
  <si>
    <t>CALCULATION: % of CO2 produced by central heating with boilers/ gas and fuel oil (rough estimate without differentiation fuel oil/ gas)</t>
  </si>
  <si>
    <t>TIME</t>
  </si>
  <si>
    <t>Netherlands</t>
  </si>
  <si>
    <t>United Kingdom</t>
  </si>
  <si>
    <t>United States</t>
  </si>
  <si>
    <t>Gas CHP</t>
  </si>
  <si>
    <t>Oil CHP</t>
  </si>
  <si>
    <t>Coal CHP</t>
  </si>
  <si>
    <t>Comb. Renew. and Waste</t>
  </si>
  <si>
    <t>Comb. Renew. and Waste CHP</t>
  </si>
  <si>
    <t>Solar</t>
  </si>
  <si>
    <t>Other</t>
  </si>
  <si>
    <t>Natural Gas</t>
  </si>
  <si>
    <t>CHP Plants (Elec + Heat)</t>
  </si>
  <si>
    <t>Ele Plants (Electricity only)</t>
  </si>
  <si>
    <t>Heat Plants (Heat only)</t>
  </si>
  <si>
    <t>Efficiency by type of plant and by fuel for OECD countries</t>
  </si>
  <si>
    <t>Note: Calculated efficiencies were based on ELE BALANCE database for which inputs and outputs are directly submitted by national administrations.</t>
  </si>
  <si>
    <t>By convention</t>
  </si>
  <si>
    <t>Countries</t>
  </si>
  <si>
    <t>Annual heat demand (kWh)</t>
  </si>
  <si>
    <t>Radiator system</t>
  </si>
  <si>
    <t>Traditional</t>
  </si>
  <si>
    <t>Low-temperature</t>
  </si>
  <si>
    <t>Natural gas, atmospheric boiler, non modulating</t>
  </si>
  <si>
    <t>Natural gas, atmospheric boiler, modulating</t>
  </si>
  <si>
    <t>Natural gas, traditional flue balanced, non modulating</t>
  </si>
  <si>
    <t>Natural gas, traditional flue balanced modulating</t>
  </si>
  <si>
    <t>Natural gas, condensing flue balanced non modulating</t>
  </si>
  <si>
    <t>Natural gas,  condensing flue balanced modulating</t>
  </si>
  <si>
    <t>Natural gas,  gas Radiator (flue less)</t>
  </si>
  <si>
    <t>Natural gas,  gas Radiator (flued)</t>
  </si>
  <si>
    <t>Natural gas,  gas heat pumps</t>
  </si>
  <si>
    <t>Natural gas,  micro CHP stearling</t>
  </si>
  <si>
    <t>Natural gas, micro CHP fuel cells</t>
  </si>
  <si>
    <t>Fuel oil,  traditional boiler</t>
  </si>
  <si>
    <t>Fuel oil,  condensing boiler</t>
  </si>
  <si>
    <t>Electrical boiler</t>
  </si>
  <si>
    <t>Electrical radiators</t>
  </si>
  <si>
    <t>Fuel oil, radiators</t>
  </si>
  <si>
    <t>Wood boiler with ventilator</t>
  </si>
  <si>
    <t>Wood boiler without ventilator</t>
  </si>
  <si>
    <t>Wood, other</t>
  </si>
  <si>
    <t>Appliance</t>
  </si>
  <si>
    <t>Input</t>
  </si>
  <si>
    <t>Type</t>
  </si>
  <si>
    <t>Description</t>
  </si>
  <si>
    <t>Appliance input</t>
  </si>
  <si>
    <r>
      <t>CO</t>
    </r>
    <r>
      <rPr>
        <vertAlign val="subscript"/>
        <sz val="10"/>
        <rFont val="Arial"/>
        <family val="2"/>
      </rPr>
      <t>2</t>
    </r>
    <r>
      <rPr>
        <sz val="10"/>
        <rFont val="Arial"/>
        <family val="0"/>
      </rPr>
      <t xml:space="preserve"> emissions (kg/year)</t>
    </r>
  </si>
  <si>
    <t>Replacement (%/yr)</t>
  </si>
  <si>
    <t>Natural gas boiler, jet burner</t>
  </si>
  <si>
    <t>Solid fuels</t>
  </si>
  <si>
    <t>Electrical heat pump</t>
  </si>
  <si>
    <t>Boiler market data</t>
  </si>
  <si>
    <t>Other data</t>
  </si>
  <si>
    <t>appliances x 1000</t>
  </si>
  <si>
    <t>Energy costs</t>
  </si>
  <si>
    <r>
      <t xml:space="preserve"> </t>
    </r>
    <r>
      <rPr>
        <sz val="7.4"/>
        <color indexed="63"/>
        <rFont val="Arial"/>
        <family val="0"/>
      </rPr>
      <t>Fueltypedescription</t>
    </r>
    <r>
      <rPr>
        <sz val="10"/>
        <rFont val="Arial"/>
        <family val="0"/>
      </rPr>
      <t xml:space="preserve"> </t>
    </r>
  </si>
  <si>
    <r>
      <t xml:space="preserve"> </t>
    </r>
    <r>
      <rPr>
        <sz val="7.4"/>
        <color indexed="63"/>
        <rFont val="Arial"/>
        <family val="0"/>
      </rPr>
      <t>Emissionfactor(tCO</t>
    </r>
    <r>
      <rPr>
        <sz val="4.9"/>
        <color indexed="63"/>
        <rFont val="Arial"/>
        <family val="0"/>
      </rPr>
      <t>2</t>
    </r>
    <r>
      <rPr>
        <sz val="7.4"/>
        <color indexed="63"/>
        <rFont val="Arial"/>
        <family val="0"/>
      </rPr>
      <t>/TJ)</t>
    </r>
    <r>
      <rPr>
        <sz val="10"/>
        <rFont val="Arial"/>
        <family val="0"/>
      </rPr>
      <t xml:space="preserve"> </t>
    </r>
  </si>
  <si>
    <r>
      <t xml:space="preserve"> </t>
    </r>
    <r>
      <rPr>
        <sz val="7.4"/>
        <color indexed="63"/>
        <rFont val="Arial"/>
        <family val="0"/>
      </rPr>
      <t>Netcalorificvalue(TJ/Gg)</t>
    </r>
    <r>
      <rPr>
        <sz val="10"/>
        <rFont val="Arial"/>
        <family val="0"/>
      </rPr>
      <t xml:space="preserve"> </t>
    </r>
  </si>
  <si>
    <t xml:space="preserve"> </t>
  </si>
  <si>
    <r>
      <t xml:space="preserve"> </t>
    </r>
    <r>
      <rPr>
        <sz val="7.4"/>
        <color indexed="63"/>
        <rFont val="Arial"/>
        <family val="0"/>
      </rPr>
      <t>2006IPCCguidelines(exceptbiomass)</t>
    </r>
    <r>
      <rPr>
        <sz val="10"/>
        <rFont val="Arial"/>
        <family val="0"/>
      </rPr>
      <t xml:space="preserve"> </t>
    </r>
  </si>
  <si>
    <r>
      <t xml:space="preserve"> </t>
    </r>
    <r>
      <rPr>
        <sz val="7.4"/>
        <color indexed="63"/>
        <rFont val="Arial"/>
        <family val="0"/>
      </rPr>
      <t>2006IPCCguidelines</t>
    </r>
    <r>
      <rPr>
        <sz val="10"/>
        <rFont val="Arial"/>
        <family val="0"/>
      </rPr>
      <t xml:space="preserve"> </t>
    </r>
  </si>
  <si>
    <r>
      <t xml:space="preserve"> </t>
    </r>
    <r>
      <rPr>
        <sz val="8.5"/>
        <color indexed="63"/>
        <rFont val="Arial"/>
        <family val="0"/>
      </rPr>
      <t>Crudeoil</t>
    </r>
    <r>
      <rPr>
        <sz val="10"/>
        <rFont val="Arial"/>
        <family val="0"/>
      </rPr>
      <t xml:space="preserve"> </t>
    </r>
  </si>
  <si>
    <r>
      <t xml:space="preserve"> </t>
    </r>
    <r>
      <rPr>
        <sz val="8.5"/>
        <color indexed="63"/>
        <rFont val="Arial"/>
        <family val="0"/>
      </rPr>
      <t>Orimulsion</t>
    </r>
    <r>
      <rPr>
        <sz val="10"/>
        <rFont val="Arial"/>
        <family val="0"/>
      </rPr>
      <t xml:space="preserve"> </t>
    </r>
  </si>
  <si>
    <r>
      <t xml:space="preserve"> </t>
    </r>
    <r>
      <rPr>
        <sz val="8.5"/>
        <color indexed="63"/>
        <rFont val="Arial"/>
        <family val="0"/>
      </rPr>
      <t>Naturalgasliquids</t>
    </r>
    <r>
      <rPr>
        <sz val="10"/>
        <rFont val="Arial"/>
        <family val="0"/>
      </rPr>
      <t xml:space="preserve"> </t>
    </r>
  </si>
  <si>
    <r>
      <t xml:space="preserve"> </t>
    </r>
    <r>
      <rPr>
        <sz val="8.5"/>
        <color indexed="63"/>
        <rFont val="Arial"/>
        <family val="0"/>
      </rPr>
      <t>Motorgasoline</t>
    </r>
    <r>
      <rPr>
        <sz val="10"/>
        <rFont val="Arial"/>
        <family val="0"/>
      </rPr>
      <t xml:space="preserve"> </t>
    </r>
  </si>
  <si>
    <r>
      <t xml:space="preserve"> </t>
    </r>
    <r>
      <rPr>
        <sz val="8.5"/>
        <color indexed="63"/>
        <rFont val="Arial"/>
        <family val="0"/>
      </rPr>
      <t>Kerosene</t>
    </r>
    <r>
      <rPr>
        <sz val="10"/>
        <rFont val="Arial"/>
        <family val="0"/>
      </rPr>
      <t xml:space="preserve"> </t>
    </r>
  </si>
  <si>
    <r>
      <t xml:space="preserve"> </t>
    </r>
    <r>
      <rPr>
        <sz val="8.5"/>
        <color indexed="63"/>
        <rFont val="Arial"/>
        <family val="0"/>
      </rPr>
      <t>Shaleoil</t>
    </r>
    <r>
      <rPr>
        <sz val="10"/>
        <rFont val="Arial"/>
        <family val="0"/>
      </rPr>
      <t xml:space="preserve"> </t>
    </r>
  </si>
  <si>
    <r>
      <t xml:space="preserve"> </t>
    </r>
    <r>
      <rPr>
        <sz val="8.5"/>
        <color indexed="63"/>
        <rFont val="Arial"/>
        <family val="0"/>
      </rPr>
      <t>Gas/dieseloil</t>
    </r>
    <r>
      <rPr>
        <sz val="10"/>
        <rFont val="Arial"/>
        <family val="0"/>
      </rPr>
      <t xml:space="preserve"> </t>
    </r>
  </si>
  <si>
    <r>
      <t xml:space="preserve"> </t>
    </r>
    <r>
      <rPr>
        <sz val="8.5"/>
        <color indexed="63"/>
        <rFont val="Arial"/>
        <family val="0"/>
      </rPr>
      <t>Residualfueloil</t>
    </r>
    <r>
      <rPr>
        <sz val="10"/>
        <rFont val="Arial"/>
        <family val="0"/>
      </rPr>
      <t xml:space="preserve"> </t>
    </r>
  </si>
  <si>
    <r>
      <t xml:space="preserve"> </t>
    </r>
    <r>
      <rPr>
        <sz val="8.5"/>
        <color indexed="63"/>
        <rFont val="Arial"/>
        <family val="0"/>
      </rPr>
      <t>Liquefiedpetroleumgases</t>
    </r>
    <r>
      <rPr>
        <sz val="10"/>
        <rFont val="Arial"/>
        <family val="0"/>
      </rPr>
      <t xml:space="preserve"> </t>
    </r>
  </si>
  <si>
    <r>
      <t xml:space="preserve"> </t>
    </r>
    <r>
      <rPr>
        <sz val="8.5"/>
        <color indexed="63"/>
        <rFont val="Arial"/>
        <family val="0"/>
      </rPr>
      <t>Ethane</t>
    </r>
    <r>
      <rPr>
        <sz val="10"/>
        <rFont val="Arial"/>
        <family val="0"/>
      </rPr>
      <t xml:space="preserve"> </t>
    </r>
  </si>
  <si>
    <r>
      <t xml:space="preserve"> </t>
    </r>
    <r>
      <rPr>
        <sz val="8.5"/>
        <color indexed="63"/>
        <rFont val="Arial"/>
        <family val="0"/>
      </rPr>
      <t>Naphtha</t>
    </r>
    <r>
      <rPr>
        <sz val="10"/>
        <rFont val="Arial"/>
        <family val="0"/>
      </rPr>
      <t xml:space="preserve"> </t>
    </r>
  </si>
  <si>
    <r>
      <t xml:space="preserve"> </t>
    </r>
    <r>
      <rPr>
        <sz val="8.5"/>
        <color indexed="63"/>
        <rFont val="Arial"/>
        <family val="0"/>
      </rPr>
      <t>Bitumen</t>
    </r>
    <r>
      <rPr>
        <sz val="10"/>
        <rFont val="Arial"/>
        <family val="0"/>
      </rPr>
      <t xml:space="preserve"> </t>
    </r>
  </si>
  <si>
    <r>
      <t xml:space="preserve"> </t>
    </r>
    <r>
      <rPr>
        <sz val="8.5"/>
        <color indexed="63"/>
        <rFont val="Arial"/>
        <family val="0"/>
      </rPr>
      <t>Lubricants</t>
    </r>
    <r>
      <rPr>
        <sz val="10"/>
        <rFont val="Arial"/>
        <family val="0"/>
      </rPr>
      <t xml:space="preserve"> </t>
    </r>
  </si>
  <si>
    <r>
      <t xml:space="preserve"> </t>
    </r>
    <r>
      <rPr>
        <sz val="8.5"/>
        <color indexed="63"/>
        <rFont val="Arial"/>
        <family val="0"/>
      </rPr>
      <t>Petroleumcoke</t>
    </r>
    <r>
      <rPr>
        <sz val="10"/>
        <rFont val="Arial"/>
        <family val="0"/>
      </rPr>
      <t xml:space="preserve"> </t>
    </r>
  </si>
  <si>
    <r>
      <t xml:space="preserve"> </t>
    </r>
    <r>
      <rPr>
        <sz val="8.5"/>
        <color indexed="63"/>
        <rFont val="Arial"/>
        <family val="0"/>
      </rPr>
      <t>Refineryfeedstocks</t>
    </r>
    <r>
      <rPr>
        <sz val="10"/>
        <rFont val="Arial"/>
        <family val="0"/>
      </rPr>
      <t xml:space="preserve"> </t>
    </r>
  </si>
  <si>
    <r>
      <t xml:space="preserve"> </t>
    </r>
    <r>
      <rPr>
        <sz val="8.5"/>
        <color indexed="63"/>
        <rFont val="Arial"/>
        <family val="0"/>
      </rPr>
      <t>Refinerygas</t>
    </r>
    <r>
      <rPr>
        <sz val="10"/>
        <rFont val="Arial"/>
        <family val="0"/>
      </rPr>
      <t xml:space="preserve"> </t>
    </r>
  </si>
  <si>
    <r>
      <t xml:space="preserve"> </t>
    </r>
    <r>
      <rPr>
        <sz val="8.5"/>
        <color indexed="63"/>
        <rFont val="Arial"/>
        <family val="0"/>
      </rPr>
      <t>Paraffinwaxes</t>
    </r>
    <r>
      <rPr>
        <sz val="10"/>
        <rFont val="Arial"/>
        <family val="0"/>
      </rPr>
      <t xml:space="preserve"> </t>
    </r>
  </si>
  <si>
    <r>
      <t xml:space="preserve"> </t>
    </r>
    <r>
      <rPr>
        <sz val="8.5"/>
        <color indexed="63"/>
        <rFont val="Arial"/>
        <family val="0"/>
      </rPr>
      <t>WhitespiritandSBP</t>
    </r>
    <r>
      <rPr>
        <sz val="10"/>
        <rFont val="Arial"/>
        <family val="0"/>
      </rPr>
      <t xml:space="preserve"> </t>
    </r>
  </si>
  <si>
    <r>
      <t xml:space="preserve"> </t>
    </r>
    <r>
      <rPr>
        <sz val="8.5"/>
        <color indexed="63"/>
        <rFont val="Arial"/>
        <family val="0"/>
      </rPr>
      <t>Otherpetroleumproducts</t>
    </r>
    <r>
      <rPr>
        <sz val="10"/>
        <rFont val="Arial"/>
        <family val="0"/>
      </rPr>
      <t xml:space="preserve"> </t>
    </r>
  </si>
  <si>
    <r>
      <t xml:space="preserve"> </t>
    </r>
    <r>
      <rPr>
        <sz val="8.5"/>
        <color indexed="63"/>
        <rFont val="Arial"/>
        <family val="0"/>
      </rPr>
      <t>Anthracite</t>
    </r>
    <r>
      <rPr>
        <sz val="10"/>
        <rFont val="Arial"/>
        <family val="0"/>
      </rPr>
      <t xml:space="preserve"> </t>
    </r>
  </si>
  <si>
    <r>
      <t xml:space="preserve"> </t>
    </r>
    <r>
      <rPr>
        <sz val="8.5"/>
        <color indexed="63"/>
        <rFont val="Arial"/>
        <family val="0"/>
      </rPr>
      <t>Cokingcoal</t>
    </r>
    <r>
      <rPr>
        <sz val="10"/>
        <rFont val="Arial"/>
        <family val="0"/>
      </rPr>
      <t xml:space="preserve"> </t>
    </r>
  </si>
  <si>
    <r>
      <t xml:space="preserve"> </t>
    </r>
    <r>
      <rPr>
        <sz val="8.5"/>
        <color indexed="63"/>
        <rFont val="Arial"/>
        <family val="0"/>
      </rPr>
      <t>Otherbituminouscoal</t>
    </r>
    <r>
      <rPr>
        <sz val="10"/>
        <rFont val="Arial"/>
        <family val="0"/>
      </rPr>
      <t xml:space="preserve"> </t>
    </r>
  </si>
  <si>
    <r>
      <t xml:space="preserve"> </t>
    </r>
    <r>
      <rPr>
        <sz val="8.5"/>
        <color indexed="63"/>
        <rFont val="Arial"/>
        <family val="0"/>
      </rPr>
      <t>Sub-bituminouscoal</t>
    </r>
    <r>
      <rPr>
        <sz val="10"/>
        <rFont val="Arial"/>
        <family val="0"/>
      </rPr>
      <t xml:space="preserve"> </t>
    </r>
  </si>
  <si>
    <r>
      <t xml:space="preserve"> </t>
    </r>
    <r>
      <rPr>
        <sz val="8.5"/>
        <color indexed="63"/>
        <rFont val="Arial"/>
        <family val="0"/>
      </rPr>
      <t>Lignite</t>
    </r>
    <r>
      <rPr>
        <sz val="10"/>
        <rFont val="Arial"/>
        <family val="0"/>
      </rPr>
      <t xml:space="preserve"> </t>
    </r>
  </si>
  <si>
    <r>
      <t xml:space="preserve"> </t>
    </r>
    <r>
      <rPr>
        <sz val="8.5"/>
        <color indexed="63"/>
        <rFont val="Arial"/>
        <family val="0"/>
      </rPr>
      <t>Oilshaleandtarsands</t>
    </r>
    <r>
      <rPr>
        <sz val="10"/>
        <rFont val="Arial"/>
        <family val="0"/>
      </rPr>
      <t xml:space="preserve"> </t>
    </r>
  </si>
  <si>
    <r>
      <t xml:space="preserve"> </t>
    </r>
    <r>
      <rPr>
        <sz val="8.5"/>
        <color indexed="63"/>
        <rFont val="Arial"/>
        <family val="0"/>
      </rPr>
      <t>Patentfuel</t>
    </r>
    <r>
      <rPr>
        <sz val="10"/>
        <rFont val="Arial"/>
        <family val="0"/>
      </rPr>
      <t xml:space="preserve"> </t>
    </r>
  </si>
  <si>
    <r>
      <t xml:space="preserve"> </t>
    </r>
    <r>
      <rPr>
        <sz val="8.5"/>
        <color indexed="63"/>
        <rFont val="Arial"/>
        <family val="0"/>
      </rPr>
      <t>Cokeovencokeandlignitecoke</t>
    </r>
    <r>
      <rPr>
        <sz val="10"/>
        <rFont val="Arial"/>
        <family val="0"/>
      </rPr>
      <t xml:space="preserve"> </t>
    </r>
  </si>
  <si>
    <r>
      <t xml:space="preserve"> </t>
    </r>
    <r>
      <rPr>
        <sz val="8.5"/>
        <color indexed="63"/>
        <rFont val="Arial"/>
        <family val="0"/>
      </rPr>
      <t>Gascoke</t>
    </r>
    <r>
      <rPr>
        <sz val="10"/>
        <rFont val="Arial"/>
        <family val="0"/>
      </rPr>
      <t xml:space="preserve"> </t>
    </r>
  </si>
  <si>
    <r>
      <t xml:space="preserve"> </t>
    </r>
    <r>
      <rPr>
        <sz val="8.5"/>
        <color indexed="63"/>
        <rFont val="Arial"/>
        <family val="0"/>
      </rPr>
      <t>Coaltar</t>
    </r>
    <r>
      <rPr>
        <sz val="10"/>
        <rFont val="Arial"/>
        <family val="0"/>
      </rPr>
      <t xml:space="preserve"> </t>
    </r>
  </si>
  <si>
    <r>
      <t xml:space="preserve"> </t>
    </r>
    <r>
      <rPr>
        <sz val="8.5"/>
        <color indexed="63"/>
        <rFont val="Arial"/>
        <family val="0"/>
      </rPr>
      <t>Gasworksgas</t>
    </r>
    <r>
      <rPr>
        <sz val="10"/>
        <rFont val="Arial"/>
        <family val="0"/>
      </rPr>
      <t xml:space="preserve"> </t>
    </r>
  </si>
  <si>
    <r>
      <t xml:space="preserve"> </t>
    </r>
    <r>
      <rPr>
        <sz val="8.5"/>
        <color indexed="63"/>
        <rFont val="Arial"/>
        <family val="0"/>
      </rPr>
      <t>Cokeovengas</t>
    </r>
    <r>
      <rPr>
        <sz val="10"/>
        <rFont val="Arial"/>
        <family val="0"/>
      </rPr>
      <t xml:space="preserve"> </t>
    </r>
  </si>
  <si>
    <r>
      <t xml:space="preserve"> </t>
    </r>
    <r>
      <rPr>
        <sz val="8.5"/>
        <color indexed="63"/>
        <rFont val="Arial"/>
        <family val="0"/>
      </rPr>
      <t>Blastfurnacegas</t>
    </r>
    <r>
      <rPr>
        <sz val="10"/>
        <rFont val="Arial"/>
        <family val="0"/>
      </rPr>
      <t xml:space="preserve"> </t>
    </r>
  </si>
  <si>
    <r>
      <t xml:space="preserve"> </t>
    </r>
    <r>
      <rPr>
        <sz val="8.5"/>
        <color indexed="63"/>
        <rFont val="Arial"/>
        <family val="0"/>
      </rPr>
      <t>Oxygensteelfurnacegas</t>
    </r>
    <r>
      <rPr>
        <sz val="10"/>
        <rFont val="Arial"/>
        <family val="0"/>
      </rPr>
      <t xml:space="preserve"> </t>
    </r>
  </si>
  <si>
    <r>
      <t xml:space="preserve"> </t>
    </r>
    <r>
      <rPr>
        <sz val="8.5"/>
        <color indexed="63"/>
        <rFont val="Arial"/>
        <family val="0"/>
      </rPr>
      <t>Naturalgas</t>
    </r>
    <r>
      <rPr>
        <sz val="10"/>
        <rFont val="Arial"/>
        <family val="0"/>
      </rPr>
      <t xml:space="preserve"> </t>
    </r>
  </si>
  <si>
    <r>
      <t xml:space="preserve"> </t>
    </r>
    <r>
      <rPr>
        <sz val="8.5"/>
        <color indexed="63"/>
        <rFont val="Arial"/>
        <family val="0"/>
      </rPr>
      <t>Industrialwastes</t>
    </r>
    <r>
      <rPr>
        <sz val="10"/>
        <rFont val="Arial"/>
        <family val="0"/>
      </rPr>
      <t xml:space="preserve"> </t>
    </r>
  </si>
  <si>
    <r>
      <t xml:space="preserve"> </t>
    </r>
    <r>
      <rPr>
        <sz val="8.5"/>
        <color indexed="63"/>
        <rFont val="Arial"/>
        <family val="0"/>
      </rPr>
      <t>Wasteoils</t>
    </r>
    <r>
      <rPr>
        <sz val="10"/>
        <rFont val="Arial"/>
        <family val="0"/>
      </rPr>
      <t xml:space="preserve"> </t>
    </r>
  </si>
  <si>
    <r>
      <t xml:space="preserve"> </t>
    </r>
    <r>
      <rPr>
        <sz val="8.5"/>
        <color indexed="63"/>
        <rFont val="Arial"/>
        <family val="0"/>
      </rPr>
      <t>Peat</t>
    </r>
    <r>
      <rPr>
        <sz val="10"/>
        <rFont val="Arial"/>
        <family val="0"/>
      </rPr>
      <t xml:space="preserve"> </t>
    </r>
  </si>
  <si>
    <r>
      <t xml:space="preserve"> </t>
    </r>
    <r>
      <rPr>
        <sz val="8.5"/>
        <color indexed="63"/>
        <rFont val="Arial"/>
        <family val="0"/>
      </rPr>
      <t>Wood/woodwaste</t>
    </r>
    <r>
      <rPr>
        <sz val="10"/>
        <rFont val="Arial"/>
        <family val="0"/>
      </rPr>
      <t xml:space="preserve"> </t>
    </r>
  </si>
  <si>
    <r>
      <t xml:space="preserve"> </t>
    </r>
    <r>
      <rPr>
        <sz val="8.5"/>
        <color indexed="63"/>
        <rFont val="Arial"/>
        <family val="0"/>
      </rPr>
      <t>Otherprimarysolidbiomass</t>
    </r>
    <r>
      <rPr>
        <sz val="10"/>
        <rFont val="Arial"/>
        <family val="0"/>
      </rPr>
      <t xml:space="preserve"> </t>
    </r>
  </si>
  <si>
    <r>
      <t xml:space="preserve"> </t>
    </r>
    <r>
      <rPr>
        <sz val="8.5"/>
        <color indexed="63"/>
        <rFont val="Arial"/>
        <family val="0"/>
      </rPr>
      <t>Charcoal</t>
    </r>
    <r>
      <rPr>
        <sz val="10"/>
        <rFont val="Arial"/>
        <family val="0"/>
      </rPr>
      <t xml:space="preserve"> </t>
    </r>
  </si>
  <si>
    <r>
      <t xml:space="preserve"> </t>
    </r>
    <r>
      <rPr>
        <sz val="8.5"/>
        <color indexed="63"/>
        <rFont val="Arial"/>
        <family val="0"/>
      </rPr>
      <t>Biogasoline</t>
    </r>
    <r>
      <rPr>
        <sz val="10"/>
        <rFont val="Arial"/>
        <family val="0"/>
      </rPr>
      <t xml:space="preserve"> </t>
    </r>
  </si>
  <si>
    <r>
      <t xml:space="preserve"> </t>
    </r>
    <r>
      <rPr>
        <sz val="8.5"/>
        <color indexed="63"/>
        <rFont val="Arial"/>
        <family val="0"/>
      </rPr>
      <t>Biodiesels</t>
    </r>
    <r>
      <rPr>
        <sz val="10"/>
        <rFont val="Arial"/>
        <family val="0"/>
      </rPr>
      <t xml:space="preserve"> </t>
    </r>
  </si>
  <si>
    <r>
      <t xml:space="preserve"> </t>
    </r>
    <r>
      <rPr>
        <sz val="8.5"/>
        <color indexed="63"/>
        <rFont val="Arial"/>
        <family val="0"/>
      </rPr>
      <t>Otherliquidbiofuels</t>
    </r>
    <r>
      <rPr>
        <sz val="10"/>
        <rFont val="Arial"/>
        <family val="0"/>
      </rPr>
      <t xml:space="preserve"> </t>
    </r>
  </si>
  <si>
    <r>
      <t xml:space="preserve"> </t>
    </r>
    <r>
      <rPr>
        <sz val="8.5"/>
        <color indexed="63"/>
        <rFont val="Arial"/>
        <family val="0"/>
      </rPr>
      <t>Landfillgas</t>
    </r>
    <r>
      <rPr>
        <sz val="10"/>
        <rFont val="Arial"/>
        <family val="0"/>
      </rPr>
      <t xml:space="preserve"> </t>
    </r>
  </si>
  <si>
    <r>
      <t xml:space="preserve"> </t>
    </r>
    <r>
      <rPr>
        <sz val="8.5"/>
        <color indexed="63"/>
        <rFont val="Arial"/>
        <family val="0"/>
      </rPr>
      <t>Sludgegas</t>
    </r>
    <r>
      <rPr>
        <sz val="10"/>
        <rFont val="Arial"/>
        <family val="0"/>
      </rPr>
      <t xml:space="preserve"> </t>
    </r>
  </si>
  <si>
    <r>
      <t xml:space="preserve"> </t>
    </r>
    <r>
      <rPr>
        <sz val="8.5"/>
        <color indexed="63"/>
        <rFont val="Arial"/>
        <family val="0"/>
      </rPr>
      <t>Otherbiogas</t>
    </r>
    <r>
      <rPr>
        <sz val="10"/>
        <rFont val="Arial"/>
        <family val="0"/>
      </rPr>
      <t xml:space="preserve"> </t>
    </r>
  </si>
  <si>
    <r>
      <t xml:space="preserve"> </t>
    </r>
    <r>
      <rPr>
        <sz val="8.5"/>
        <color indexed="63"/>
        <rFont val="Arial"/>
        <family val="0"/>
      </rPr>
      <t>Wastetyres</t>
    </r>
    <r>
      <rPr>
        <sz val="10"/>
        <rFont val="Arial"/>
        <family val="0"/>
      </rPr>
      <t xml:space="preserve"> </t>
    </r>
  </si>
  <si>
    <r>
      <t xml:space="preserve"> </t>
    </r>
    <r>
      <rPr>
        <sz val="8.5"/>
        <color indexed="63"/>
        <rFont val="Arial"/>
        <family val="0"/>
      </rPr>
      <t>Carbonmonoxide</t>
    </r>
    <r>
      <rPr>
        <sz val="10"/>
        <rFont val="Arial"/>
        <family val="0"/>
      </rPr>
      <t xml:space="preserve"> </t>
    </r>
  </si>
  <si>
    <r>
      <t xml:space="preserve"> </t>
    </r>
    <r>
      <rPr>
        <sz val="8.5"/>
        <color indexed="63"/>
        <rFont val="Arial"/>
        <family val="0"/>
      </rPr>
      <t>Methane</t>
    </r>
    <r>
      <rPr>
        <sz val="10"/>
        <rFont val="Arial"/>
        <family val="0"/>
      </rPr>
      <t xml:space="preserve"> </t>
    </r>
  </si>
  <si>
    <t xml:space="preserve"> n.a. </t>
  </si>
  <si>
    <t xml:space="preserve"> Othersources </t>
  </si>
  <si>
    <t>2006 IPPC guidelines, as cited in http://eur-lex.europa.eu/LexUriServ/site/en/oj/2007/l_229/l_22920070831en00010085.pdf</t>
  </si>
  <si>
    <t>energy consumption per appliance (kWh/yr)</t>
  </si>
  <si>
    <t>Electricity production</t>
  </si>
  <si>
    <t>CO2 (kg/GJ)</t>
  </si>
  <si>
    <t>Efficiency</t>
  </si>
  <si>
    <t>Heat only</t>
  </si>
  <si>
    <t>Emission factor</t>
  </si>
  <si>
    <t>CO2 emission (kg/GJ)</t>
  </si>
  <si>
    <t>efficiency</t>
  </si>
  <si>
    <t>not implemented</t>
  </si>
  <si>
    <t>Reduction</t>
  </si>
  <si>
    <t>CO2 emission</t>
  </si>
  <si>
    <r>
      <t>CO</t>
    </r>
    <r>
      <rPr>
        <b/>
        <vertAlign val="subscript"/>
        <sz val="10"/>
        <rFont val="Arial"/>
        <family val="2"/>
      </rPr>
      <t>2</t>
    </r>
    <r>
      <rPr>
        <b/>
        <sz val="10"/>
        <rFont val="Arial"/>
        <family val="2"/>
      </rPr>
      <t xml:space="preserve"> emissions (Mt/yr)</t>
    </r>
  </si>
  <si>
    <t>Wood</t>
  </si>
  <si>
    <t>exchange rate</t>
  </si>
  <si>
    <t>we shall have this</t>
  </si>
  <si>
    <t xml:space="preserve">      =====&gt;</t>
  </si>
  <si>
    <t xml:space="preserve">category on the list </t>
  </si>
  <si>
    <t>above a well</t>
  </si>
  <si>
    <t>Natural gas, traditional (wall hung)</t>
  </si>
  <si>
    <t>Natural gas, condensing (wall hung)</t>
  </si>
  <si>
    <t>Natural gas, traditional (floor standing)</t>
  </si>
  <si>
    <t>Natural gas, condensing (floor standing)</t>
  </si>
  <si>
    <t>Instructions</t>
  </si>
  <si>
    <t>Comments to the users</t>
  </si>
  <si>
    <t>1) Please note, we have not yet data and models for all technologies</t>
  </si>
  <si>
    <t xml:space="preserve">2) The replacement rate is based on the % given that applies to the </t>
  </si>
  <si>
    <t>initial market (same amount of appliances replaced every year until</t>
  </si>
  <si>
    <t>all are replaced)</t>
  </si>
  <si>
    <t xml:space="preserve">3) The CO2 emissions given are the total of emissions resulting from </t>
  </si>
  <si>
    <t>the use of the existing appliances on the market at the considered date</t>
  </si>
  <si>
    <t>consider changes other than those made in the table above (so we</t>
  </si>
  <si>
    <t>Comments, future development &amp; corrections</t>
  </si>
  <si>
    <t>FOR DEMO PURPOSE ONLY</t>
  </si>
  <si>
    <t>IEA logo</t>
  </si>
  <si>
    <t xml:space="preserve">of providing a key reference tool to natural gas users and stakeholders in general. </t>
  </si>
  <si>
    <t>3) Evaluation of the market (installed appliances &amp; annual sales).</t>
  </si>
  <si>
    <t>6) Addition (in the tool) of a module - “Financial costs” - in order to assess the economical competitiveness of new technologies.</t>
  </si>
  <si>
    <t>Where are we now?</t>
  </si>
  <si>
    <t>SOURCE IEA 2007</t>
  </si>
  <si>
    <t xml:space="preserve"> For validation only</t>
  </si>
  <si>
    <t>year</t>
  </si>
  <si>
    <t>2006 IPPC guidelines</t>
  </si>
  <si>
    <t>APPROXIMATE FUEL CHARACTERISTICS</t>
  </si>
  <si>
    <t>CO2 emission per country</t>
  </si>
  <si>
    <t>SOURCE IEA 2006</t>
  </si>
  <si>
    <r>
      <t>Model annual CO2</t>
    </r>
    <r>
      <rPr>
        <i/>
        <sz val="8"/>
        <rFont val="Arial"/>
        <family val="2"/>
      </rPr>
      <t xml:space="preserve"> (not used)</t>
    </r>
  </si>
  <si>
    <t>Part 3 Energy balance</t>
  </si>
  <si>
    <t xml:space="preserve">Countries </t>
  </si>
  <si>
    <t>The purpose of the present version is to demonstrate how the tool works.</t>
  </si>
  <si>
    <t>We are now looking for help to:</t>
  </si>
  <si>
    <t xml:space="preserve">  - develop the databases needed to run the calculation properly</t>
  </si>
  <si>
    <t xml:space="preserve">  - develop the calculation models needed for all appliances  </t>
  </si>
  <si>
    <t>jsc@dgc.dk</t>
  </si>
  <si>
    <t>DATA 1</t>
  </si>
  <si>
    <t>2 Appliances Market</t>
  </si>
  <si>
    <t xml:space="preserve">4 El Conversion factors </t>
  </si>
  <si>
    <t>5 Energy costs</t>
  </si>
  <si>
    <t>6 Total CO2 by country</t>
  </si>
  <si>
    <t>7 Share heating on CO2</t>
  </si>
  <si>
    <t>8 Graph (old)</t>
  </si>
  <si>
    <t>To be deleted</t>
  </si>
  <si>
    <t>Appliances Market</t>
  </si>
  <si>
    <t>EURO/$</t>
  </si>
  <si>
    <t>DKK/$</t>
  </si>
  <si>
    <t>Yen/$</t>
  </si>
  <si>
    <t>UKP/$</t>
  </si>
  <si>
    <t>IGU Energy Efficiency Indicators (IEEI)</t>
  </si>
  <si>
    <t>This work was carried out by IGU in collaboration with IEA with the objective</t>
  </si>
  <si>
    <t>VERSION01 DEMO</t>
  </si>
  <si>
    <t>XX</t>
  </si>
  <si>
    <t>Jean Schweitzer DGC</t>
  </si>
  <si>
    <t>4) Creation of a calculation tool (this one) allowing the comparison of technologies/appliances/energy sources.</t>
  </si>
  <si>
    <r>
      <t>POLICY INSTRUMENT</t>
    </r>
    <r>
      <rPr>
        <sz val="11"/>
        <rFont val="Arial"/>
        <family val="0"/>
      </rPr>
      <t xml:space="preserve"> will enable macro econonomic calculation and evaluate the impact of various technological strategies for the market.</t>
    </r>
  </si>
  <si>
    <r>
      <t>TECHNOLOGY COMPARISON</t>
    </r>
    <r>
      <rPr>
        <sz val="11"/>
        <rFont val="Arial"/>
        <family val="0"/>
      </rPr>
      <t xml:space="preserve"> is a tool for the final appliance user: It compares the cost and energy consumption for the different technologies for a given installation.</t>
    </r>
  </si>
  <si>
    <r>
      <t>The countries represented in this version of the tool are those, for which</t>
    </r>
    <r>
      <rPr>
        <b/>
        <sz val="11"/>
        <rFont val="Arial"/>
        <family val="2"/>
      </rPr>
      <t xml:space="preserve"> we have data</t>
    </r>
    <r>
      <rPr>
        <sz val="11"/>
        <rFont val="Arial"/>
        <family val="2"/>
      </rPr>
      <t>. More countries will be added when we obtain more data.</t>
    </r>
  </si>
  <si>
    <t>SO IT IS TO BE USED FOR DEMO PURPOSE ONLY</t>
  </si>
  <si>
    <t>Contact us if you are interested in collaborating</t>
  </si>
  <si>
    <t>4) In this version, the market is not evolutive: This means that we don't</t>
  </si>
  <si>
    <t>only consider appliances replacement and do not include new installations.)</t>
  </si>
  <si>
    <t>CO2 emissions due to electrical</t>
  </si>
  <si>
    <t>components of non-electrical</t>
  </si>
  <si>
    <t>appliances are NOT taken into account</t>
  </si>
  <si>
    <t>in this version of the calculation.</t>
  </si>
  <si>
    <t>dgc V06ecor</t>
  </si>
  <si>
    <t>We assess the energy efficiency of various technologies for the main gas utilisation in:</t>
  </si>
  <si>
    <t>Introduction and Considerations</t>
  </si>
  <si>
    <t xml:space="preserve"> - Domestic &amp; commercial sectors</t>
  </si>
  <si>
    <t xml:space="preserve"> - Heating only as it represents 90% of NG sale in the sector considered.  </t>
  </si>
  <si>
    <t>The impact of heating on countries' total CO2 emission is very important. In the EU heating of buidlings is the second source of CO2 emissions after transport.</t>
  </si>
  <si>
    <t>Efficiency indicators will allow  a comparison between natural gas and other energy sources (electricity, fuel oil) in terms of CO2 reduction and energy savings.</t>
  </si>
  <si>
    <t>This first version is only for demonstration purposes to discuss and plan future developments. It should NOT be used for calculation.</t>
  </si>
  <si>
    <t>Methodology</t>
  </si>
  <si>
    <t>1)  Creation of the appliances energy efficiency database for the main technologies available (gas, el, fuel oil):</t>
  </si>
  <si>
    <t>2)  Assessment of the impact of external parameters (e.g. installation, heat demand, etc.) on the efficiency.</t>
  </si>
  <si>
    <t xml:space="preserve">     Development of very simple models, when needed.</t>
  </si>
  <si>
    <t xml:space="preserve">    on energy efficiency &amp; CO2 emissions.</t>
  </si>
  <si>
    <t xml:space="preserve">     Assessment of the range of nominal efficiency of the appliances (including existing, old and new appliances).</t>
  </si>
  <si>
    <t xml:space="preserve">     Assessment of nominal CO2 emissions.</t>
  </si>
  <si>
    <t>5) Policy Instrument. Example/exercise showing the impact of various replacement actions either by country or by region</t>
  </si>
  <si>
    <t>Next Steps</t>
  </si>
  <si>
    <t>We have gathered a number of data and created two user interfaces that can demonstrate how the tool works. You will find these in the two different sheets of this file:</t>
  </si>
  <si>
    <t>kkk</t>
  </si>
  <si>
    <r>
      <t xml:space="preserve">Results </t>
    </r>
    <r>
      <rPr>
        <i/>
        <sz val="10"/>
        <color indexed="10"/>
        <rFont val="Arial"/>
        <family val="2"/>
      </rPr>
      <t>costs basis: reference IEA 2006</t>
    </r>
  </si>
  <si>
    <t xml:space="preserve">Share of installed appliances </t>
  </si>
  <si>
    <t>Environmental Impact &amp; Policy Instrument</t>
  </si>
  <si>
    <t>Results are immediatly seen on the graph that indicates the evolution of CO2 emissions</t>
  </si>
  <si>
    <t>for building space heating for the choosen country</t>
  </si>
  <si>
    <t xml:space="preserve">For the time being, there are discrepancies between the list of appliances for the existing and new market. This is due to the fact that we have not enough details on the </t>
  </si>
  <si>
    <t>existing market share by technology. We will work at harmonising the appliances list and use assumptions to get the needed level of detail for the existing market.</t>
  </si>
  <si>
    <t>Technology of installed appliance (that you want to be replaced)</t>
  </si>
  <si>
    <t xml:space="preserve">Technology for the new appliance (replacing the one choosen) </t>
  </si>
  <si>
    <t>Wall hung non cond</t>
  </si>
  <si>
    <t>Wall hung cond</t>
  </si>
  <si>
    <t>Floor standing non cond</t>
  </si>
  <si>
    <t>Floor standing cond</t>
  </si>
  <si>
    <t>Heat pumps</t>
  </si>
  <si>
    <t>Electrical boilers</t>
  </si>
  <si>
    <t>Natural gas,  gas radiator (flue less)</t>
  </si>
  <si>
    <t>Natural gas,  gas radiator (flued)</t>
  </si>
  <si>
    <t>Target group: deciders, marketing, policy makers</t>
  </si>
  <si>
    <r>
      <t>Energy costs and CO</t>
    </r>
    <r>
      <rPr>
        <b/>
        <vertAlign val="subscript"/>
        <sz val="16"/>
        <rFont val="Arial"/>
        <family val="2"/>
      </rPr>
      <t>2</t>
    </r>
    <r>
      <rPr>
        <b/>
        <sz val="16"/>
        <rFont val="Arial"/>
        <family val="2"/>
      </rPr>
      <t xml:space="preserve"> emissions. </t>
    </r>
    <r>
      <rPr>
        <b/>
        <sz val="10"/>
        <rFont val="Arial"/>
        <family val="2"/>
      </rPr>
      <t xml:space="preserve"> </t>
    </r>
    <r>
      <rPr>
        <b/>
        <sz val="10"/>
        <color indexed="10"/>
        <rFont val="Arial"/>
        <family val="2"/>
      </rPr>
      <t>FOR DEMO PURPOSE ONLY</t>
    </r>
  </si>
  <si>
    <t>Target group: end users, energy consultants etc.</t>
  </si>
  <si>
    <t>In case you dont know type 20000 (EU average)</t>
  </si>
  <si>
    <t>3) See the results on table and graph below</t>
  </si>
  <si>
    <r>
      <t xml:space="preserve">Boiler size (kW) </t>
    </r>
    <r>
      <rPr>
        <sz val="10"/>
        <color indexed="10"/>
        <rFont val="Arial"/>
        <family val="2"/>
      </rPr>
      <t>(not operational yet- leave blank)</t>
    </r>
  </si>
  <si>
    <r>
      <t xml:space="preserve">Radiator system  </t>
    </r>
    <r>
      <rPr>
        <sz val="10"/>
        <color indexed="10"/>
        <rFont val="Arial"/>
        <family val="2"/>
      </rPr>
      <t>(not operational yet- leave blank)</t>
    </r>
  </si>
  <si>
    <r>
      <t xml:space="preserve">User-defined appliance (optional) </t>
    </r>
    <r>
      <rPr>
        <i/>
        <sz val="10"/>
        <color indexed="10"/>
        <rFont val="Arial"/>
        <family val="2"/>
      </rPr>
      <t>(not operational yet, leave blank)</t>
    </r>
  </si>
  <si>
    <t>This page allows for comparing various appliances running cost &amp; CO2 emissions for a given end user installation.</t>
  </si>
  <si>
    <t>1) Choose a country (line 4)</t>
  </si>
  <si>
    <t>2) Type the annual heat demand (line 5)</t>
  </si>
  <si>
    <t xml:space="preserve">Chose graph (cost or CO2) with the arrow line 15 </t>
  </si>
  <si>
    <r>
      <t xml:space="preserve">spreadsheet </t>
    </r>
    <r>
      <rPr>
        <sz val="10"/>
        <color indexed="10"/>
        <rFont val="Arial"/>
        <family val="2"/>
      </rPr>
      <t>(demonstration purposes only)</t>
    </r>
  </si>
  <si>
    <t>more accurate figures when specific data</t>
  </si>
  <si>
    <t>for a given appliance are known by the user</t>
  </si>
  <si>
    <t>This page allows for replacement scenarios calculation by choosing for a given country the type of appliance to be replaced, the type of new technology and replacement pace.</t>
  </si>
  <si>
    <t>1) Choose a country (at the top of the page, line 3)</t>
  </si>
  <si>
    <t>2) Choose one appliance from the existing national market considered (cell A30)</t>
  </si>
  <si>
    <t>3) Type a replacement rate (cell FG30)</t>
  </si>
  <si>
    <t>4) Choose the new appliance to replace the existing one (cell H30)</t>
  </si>
  <si>
    <t xml:space="preserve">5) Add other appliance(s) when needed (line 31, 32, etc.)  and repeat from (2)  </t>
  </si>
  <si>
    <r>
      <t xml:space="preserve">2) </t>
    </r>
    <r>
      <rPr>
        <b/>
        <sz val="10"/>
        <rFont val="Arial"/>
        <family val="2"/>
      </rPr>
      <t>User-defined appliance</t>
    </r>
    <r>
      <rPr>
        <sz val="10"/>
        <rFont val="Arial"/>
        <family val="0"/>
      </rPr>
      <t xml:space="preserve"> will allow to have</t>
    </r>
  </si>
  <si>
    <t xml:space="preserve">1) Please do not use/publish any results of this </t>
  </si>
  <si>
    <r>
      <t xml:space="preserve">Do not use/publish any results of this spreadsheet </t>
    </r>
    <r>
      <rPr>
        <sz val="10"/>
        <color indexed="10"/>
        <rFont val="Arial"/>
        <family val="2"/>
      </rPr>
      <t>(demo purposes only)</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</si>
</sst>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00"/>
    <numFmt numFmtId="187" formatCode="0.0"/>
    <numFmt numFmtId="188" formatCode="0.000000"/>
    <numFmt numFmtId="189" formatCode="0.00000"/>
    <numFmt numFmtId="190" formatCode="0.0000"/>
    <numFmt numFmtId="191" formatCode="0.000000000"/>
    <numFmt numFmtId="192" formatCode="0.00000000"/>
    <numFmt numFmtId="193" formatCode="0.0000000"/>
    <numFmt numFmtId="194" formatCode="0.0%"/>
    <numFmt numFmtId="195" formatCode="&quot;Ja&quot;;&quot;Ja&quot;;&quot;Nej&quot;"/>
    <numFmt numFmtId="196" formatCode="&quot;Sand&quot;;&quot;Sand&quot;;&quot;Falsk&quot;"/>
    <numFmt numFmtId="197" formatCode="&quot;Til&quot;;&quot;Til&quot;;&quot;Fra&quot;"/>
    <numFmt numFmtId="198" formatCode="[$€-2]\ #.##000_);[Red]\([$€-2]\ #.##000\)"/>
  </numFmts>
  <fonts count="53">
    <font>
      <sz val="10"/>
      <name val="Arial"/>
      <family val="0"/>
    </font>
    <font>
      <b/>
      <sz val="10"/>
      <name val="Arial"/>
      <family val="2"/>
    </font>
    <font>
      <i/>
      <sz val="10"/>
      <name val="Arial"/>
      <family val="2"/>
    </font>
    <font>
      <sz val="8"/>
      <name val="Arial"/>
      <family val="0"/>
    </font>
    <font>
      <u val="single"/>
      <sz val="10"/>
      <color indexed="12"/>
      <name val="Arial"/>
      <family val="0"/>
    </font>
    <font>
      <u val="single"/>
      <sz val="10"/>
      <color indexed="36"/>
      <name val="Arial"/>
      <family val="0"/>
    </font>
    <font>
      <b/>
      <sz val="14"/>
      <name val="Arial"/>
      <family val="2"/>
    </font>
    <font>
      <b/>
      <sz val="9"/>
      <name val="Arial"/>
      <family val="2"/>
    </font>
    <font>
      <sz val="9"/>
      <name val="Arial"/>
      <family val="0"/>
    </font>
    <font>
      <b/>
      <i/>
      <sz val="10"/>
      <name val="Arial"/>
      <family val="2"/>
    </font>
    <font>
      <b/>
      <sz val="12"/>
      <name val="Arial"/>
      <family val="2"/>
    </font>
    <font>
      <sz val="10"/>
      <color indexed="10"/>
      <name val="Arial"/>
      <family val="0"/>
    </font>
    <font>
      <i/>
      <sz val="10"/>
      <color indexed="10"/>
      <name val="Arial"/>
      <family val="2"/>
    </font>
    <font>
      <b/>
      <sz val="8"/>
      <name val="Arial"/>
      <family val="2"/>
    </font>
    <font>
      <b/>
      <i/>
      <sz val="14"/>
      <name val="Arial"/>
      <family val="2"/>
    </font>
    <font>
      <sz val="9.5"/>
      <name val="Arial"/>
      <family val="2"/>
    </font>
    <font>
      <b/>
      <sz val="17"/>
      <name val="Arial"/>
      <family val="0"/>
    </font>
    <font>
      <b/>
      <i/>
      <sz val="12"/>
      <name val="Arial"/>
      <family val="2"/>
    </font>
    <font>
      <sz val="14.25"/>
      <name val="Arial"/>
      <family val="0"/>
    </font>
    <font>
      <b/>
      <sz val="14.25"/>
      <name val="Arial"/>
      <family val="0"/>
    </font>
    <font>
      <sz val="13.25"/>
      <color indexed="51"/>
      <name val="Arial"/>
      <family val="2"/>
    </font>
    <font>
      <sz val="13.25"/>
      <color indexed="53"/>
      <name val="Arial"/>
      <family val="2"/>
    </font>
    <font>
      <sz val="14.25"/>
      <color indexed="12"/>
      <name val="Arial"/>
      <family val="2"/>
    </font>
    <font>
      <sz val="14.25"/>
      <color indexed="11"/>
      <name val="Arial"/>
      <family val="2"/>
    </font>
    <font>
      <i/>
      <sz val="8"/>
      <name val="Arial"/>
      <family val="2"/>
    </font>
    <font>
      <b/>
      <sz val="10"/>
      <color indexed="10"/>
      <name val="Arial"/>
      <family val="2"/>
    </font>
    <font>
      <sz val="8"/>
      <name val="Tahoma"/>
      <family val="2"/>
    </font>
    <font>
      <b/>
      <sz val="16"/>
      <name val="Arial"/>
      <family val="2"/>
    </font>
    <font>
      <sz val="10"/>
      <color indexed="63"/>
      <name val="Arial"/>
      <family val="2"/>
    </font>
    <font>
      <b/>
      <sz val="10"/>
      <color indexed="9"/>
      <name val="Arial"/>
      <family val="2"/>
    </font>
    <font>
      <sz val="10"/>
      <color indexed="9"/>
      <name val="Arial"/>
      <family val="2"/>
    </font>
    <font>
      <vertAlign val="subscript"/>
      <sz val="10"/>
      <name val="Arial"/>
      <family val="2"/>
    </font>
    <font>
      <b/>
      <vertAlign val="subscript"/>
      <sz val="16"/>
      <name val="Arial"/>
      <family val="2"/>
    </font>
    <font>
      <sz val="16"/>
      <name val="Arial"/>
      <family val="2"/>
    </font>
    <font>
      <sz val="8"/>
      <color indexed="10"/>
      <name val="Arial"/>
      <family val="2"/>
    </font>
    <font>
      <sz val="8"/>
      <color indexed="9"/>
      <name val="Arial"/>
      <family val="0"/>
    </font>
    <font>
      <b/>
      <vertAlign val="subscript"/>
      <sz val="10"/>
      <name val="Arial"/>
      <family val="2"/>
    </font>
    <font>
      <sz val="9.25"/>
      <name val="Arial"/>
      <family val="0"/>
    </font>
    <font>
      <b/>
      <sz val="9"/>
      <color indexed="9"/>
      <name val="Arial"/>
      <family val="2"/>
    </font>
    <font>
      <sz val="7.4"/>
      <color indexed="63"/>
      <name val="Arial"/>
      <family val="0"/>
    </font>
    <font>
      <sz val="4.9"/>
      <color indexed="63"/>
      <name val="Arial"/>
      <family val="0"/>
    </font>
    <font>
      <sz val="8.5"/>
      <color indexed="63"/>
      <name val="Arial"/>
      <family val="0"/>
    </font>
    <font>
      <sz val="8.5"/>
      <name val="Arial"/>
      <family val="0"/>
    </font>
    <font>
      <b/>
      <sz val="20"/>
      <name val="Arial"/>
      <family val="2"/>
    </font>
    <font>
      <sz val="11"/>
      <name val="Arial"/>
      <family val="2"/>
    </font>
    <font>
      <b/>
      <sz val="11"/>
      <name val="Arial"/>
      <family val="2"/>
    </font>
    <font>
      <b/>
      <u val="single"/>
      <sz val="10"/>
      <color indexed="12"/>
      <name val="Arial"/>
      <family val="2"/>
    </font>
    <font>
      <b/>
      <sz val="8"/>
      <name val="Tahoma"/>
      <family val="0"/>
    </font>
    <font>
      <b/>
      <sz val="12"/>
      <color indexed="10"/>
      <name val="Arial"/>
      <family val="2"/>
    </font>
    <font>
      <sz val="12"/>
      <name val="Arial"/>
      <family val="0"/>
    </font>
    <font>
      <sz val="6"/>
      <name val="Arial"/>
      <family val="0"/>
    </font>
    <font>
      <b/>
      <u val="single"/>
      <sz val="12"/>
      <name val="Arial"/>
      <family val="2"/>
    </font>
    <font>
      <b/>
      <sz val="11"/>
      <color indexed="12"/>
      <name val="Arial"/>
      <family val="2"/>
    </font>
  </fonts>
  <fills count="20">
    <fill>
      <patternFill/>
    </fill>
    <fill>
      <patternFill patternType="gray125"/>
    </fill>
    <fill>
      <patternFill patternType="solid">
        <fgColor indexed="13"/>
        <bgColor indexed="64"/>
      </patternFill>
    </fill>
    <fill>
      <patternFill patternType="solid">
        <fgColor indexed="46"/>
        <bgColor indexed="64"/>
      </patternFill>
    </fill>
    <fill>
      <patternFill patternType="solid">
        <fgColor indexed="51"/>
        <bgColor indexed="64"/>
      </patternFill>
    </fill>
    <fill>
      <patternFill patternType="solid">
        <fgColor indexed="26"/>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52"/>
        <bgColor indexed="64"/>
      </patternFill>
    </fill>
    <fill>
      <patternFill patternType="solid">
        <fgColor indexed="9"/>
        <bgColor indexed="64"/>
      </patternFill>
    </fill>
    <fill>
      <patternFill patternType="solid">
        <fgColor indexed="23"/>
        <bgColor indexed="64"/>
      </patternFill>
    </fill>
    <fill>
      <patternFill patternType="solid">
        <fgColor indexed="47"/>
        <bgColor indexed="64"/>
      </patternFill>
    </fill>
    <fill>
      <patternFill patternType="solid">
        <fgColor indexed="53"/>
        <bgColor indexed="64"/>
      </patternFill>
    </fill>
  </fills>
  <borders count="2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style="thin"/>
      <bottom style="thin"/>
    </border>
    <border>
      <left style="thin"/>
      <right style="thin">
        <color indexed="9"/>
      </right>
      <top style="thin"/>
      <bottom style="thin"/>
    </border>
    <border>
      <left style="thin">
        <color indexed="9"/>
      </left>
      <right style="thin">
        <color indexed="9"/>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55">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Font="1" applyAlignment="1">
      <alignment wrapText="1"/>
    </xf>
    <xf numFmtId="0" fontId="6" fillId="0" borderId="0" xfId="0" applyFont="1" applyAlignment="1">
      <alignment/>
    </xf>
    <xf numFmtId="0" fontId="0" fillId="2" borderId="0" xfId="0" applyFill="1" applyAlignment="1">
      <alignment/>
    </xf>
    <xf numFmtId="0" fontId="0" fillId="3" borderId="0" xfId="0" applyFill="1" applyAlignment="1">
      <alignment/>
    </xf>
    <xf numFmtId="0" fontId="0" fillId="3" borderId="0" xfId="0" applyFont="1" applyFill="1" applyAlignment="1">
      <alignment wrapText="1"/>
    </xf>
    <xf numFmtId="0" fontId="7" fillId="3" borderId="0" xfId="0" applyFont="1" applyFill="1" applyAlignment="1">
      <alignment/>
    </xf>
    <xf numFmtId="0" fontId="0" fillId="4" borderId="0" xfId="0" applyFill="1" applyAlignment="1">
      <alignment/>
    </xf>
    <xf numFmtId="0" fontId="1" fillId="4" borderId="0" xfId="0" applyFont="1" applyFill="1" applyAlignment="1">
      <alignment/>
    </xf>
    <xf numFmtId="0" fontId="0" fillId="4" borderId="0" xfId="0" applyFont="1" applyFill="1" applyAlignment="1">
      <alignment wrapText="1"/>
    </xf>
    <xf numFmtId="0" fontId="7" fillId="4" borderId="0" xfId="0" applyFont="1" applyFill="1" applyAlignment="1">
      <alignment/>
    </xf>
    <xf numFmtId="0" fontId="0" fillId="5" borderId="0" xfId="0" applyFill="1" applyAlignment="1">
      <alignment/>
    </xf>
    <xf numFmtId="0" fontId="2" fillId="5" borderId="0" xfId="0" applyFont="1" applyFill="1" applyAlignment="1">
      <alignment/>
    </xf>
    <xf numFmtId="0" fontId="0" fillId="5" borderId="0" xfId="0" applyFont="1" applyFill="1" applyAlignment="1">
      <alignment wrapText="1"/>
    </xf>
    <xf numFmtId="0" fontId="1" fillId="5" borderId="0" xfId="0" applyFont="1" applyFill="1" applyAlignment="1">
      <alignment/>
    </xf>
    <xf numFmtId="0" fontId="7" fillId="5" borderId="0" xfId="0" applyFont="1" applyFill="1" applyAlignment="1">
      <alignment/>
    </xf>
    <xf numFmtId="0" fontId="0" fillId="6" borderId="0" xfId="0" applyFill="1" applyBorder="1" applyAlignment="1">
      <alignment/>
    </xf>
    <xf numFmtId="0" fontId="0" fillId="6" borderId="1" xfId="0" applyFill="1" applyBorder="1" applyAlignment="1">
      <alignment/>
    </xf>
    <xf numFmtId="0" fontId="0" fillId="7" borderId="2" xfId="0" applyFill="1" applyBorder="1" applyAlignment="1">
      <alignment/>
    </xf>
    <xf numFmtId="0" fontId="0" fillId="7" borderId="3" xfId="0" applyFill="1" applyBorder="1" applyAlignment="1">
      <alignment/>
    </xf>
    <xf numFmtId="0" fontId="0" fillId="7" borderId="0" xfId="0" applyFill="1" applyBorder="1" applyAlignment="1">
      <alignment/>
    </xf>
    <xf numFmtId="0" fontId="0" fillId="7" borderId="4" xfId="0" applyFill="1" applyBorder="1" applyAlignment="1">
      <alignment/>
    </xf>
    <xf numFmtId="0" fontId="0" fillId="7" borderId="1" xfId="0" applyFill="1" applyBorder="1" applyAlignment="1">
      <alignment/>
    </xf>
    <xf numFmtId="0" fontId="0" fillId="7" borderId="5" xfId="0" applyFill="1" applyBorder="1" applyAlignment="1">
      <alignment/>
    </xf>
    <xf numFmtId="0" fontId="3" fillId="3" borderId="0" xfId="0" applyFont="1" applyFill="1" applyAlignment="1">
      <alignment/>
    </xf>
    <xf numFmtId="0" fontId="10" fillId="8" borderId="0" xfId="0" applyFont="1" applyFill="1" applyAlignment="1">
      <alignment/>
    </xf>
    <xf numFmtId="0" fontId="0" fillId="8" borderId="0" xfId="0" applyFill="1" applyAlignment="1">
      <alignment/>
    </xf>
    <xf numFmtId="0" fontId="12" fillId="0" borderId="0" xfId="0" applyFont="1" applyAlignment="1">
      <alignment/>
    </xf>
    <xf numFmtId="0" fontId="12" fillId="0" borderId="0" xfId="0" applyFont="1" applyFill="1" applyBorder="1" applyAlignment="1">
      <alignment/>
    </xf>
    <xf numFmtId="0" fontId="0" fillId="3" borderId="0" xfId="0" applyFont="1" applyFill="1" applyAlignment="1">
      <alignment/>
    </xf>
    <xf numFmtId="0" fontId="13" fillId="3" borderId="0" xfId="0" applyFont="1" applyFill="1" applyAlignment="1">
      <alignment wrapText="1"/>
    </xf>
    <xf numFmtId="0" fontId="1" fillId="3" borderId="0" xfId="0" applyFont="1" applyFill="1" applyAlignment="1">
      <alignment wrapText="1"/>
    </xf>
    <xf numFmtId="0" fontId="9" fillId="5" borderId="0" xfId="0" applyFont="1" applyFill="1" applyAlignment="1">
      <alignment/>
    </xf>
    <xf numFmtId="0" fontId="0" fillId="5" borderId="6" xfId="0" applyFill="1" applyBorder="1" applyAlignment="1">
      <alignment/>
    </xf>
    <xf numFmtId="0" fontId="0" fillId="5" borderId="7" xfId="0" applyFill="1" applyBorder="1" applyAlignment="1">
      <alignment/>
    </xf>
    <xf numFmtId="0" fontId="0" fillId="5" borderId="1" xfId="0" applyFill="1" applyBorder="1" applyAlignment="1">
      <alignment/>
    </xf>
    <xf numFmtId="0" fontId="11" fillId="5" borderId="0" xfId="0" applyFont="1" applyFill="1" applyAlignment="1">
      <alignment/>
    </xf>
    <xf numFmtId="0" fontId="0" fillId="0" borderId="0" xfId="0" applyAlignment="1">
      <alignment textRotation="60"/>
    </xf>
    <xf numFmtId="0" fontId="2" fillId="0" borderId="0" xfId="0" applyFont="1" applyAlignment="1">
      <alignment textRotation="60"/>
    </xf>
    <xf numFmtId="0" fontId="1" fillId="0" borderId="0" xfId="0" applyFont="1" applyAlignment="1">
      <alignment textRotation="60"/>
    </xf>
    <xf numFmtId="186" fontId="1" fillId="3" borderId="0" xfId="0" applyNumberFormat="1" applyFont="1" applyFill="1" applyAlignment="1">
      <alignment wrapText="1"/>
    </xf>
    <xf numFmtId="0" fontId="2" fillId="3" borderId="0" xfId="0" applyFont="1" applyFill="1" applyAlignment="1">
      <alignment/>
    </xf>
    <xf numFmtId="186" fontId="0" fillId="7" borderId="0" xfId="0" applyNumberFormat="1" applyFill="1" applyBorder="1" applyAlignment="1">
      <alignment/>
    </xf>
    <xf numFmtId="186" fontId="0" fillId="7" borderId="1" xfId="0" applyNumberFormat="1" applyFill="1" applyBorder="1" applyAlignment="1">
      <alignment/>
    </xf>
    <xf numFmtId="0" fontId="13" fillId="4" borderId="0" xfId="0" applyFont="1" applyFill="1" applyAlignment="1">
      <alignment/>
    </xf>
    <xf numFmtId="0" fontId="3" fillId="4" borderId="0" xfId="0" applyFont="1" applyFill="1" applyAlignment="1">
      <alignment/>
    </xf>
    <xf numFmtId="0" fontId="3" fillId="0" borderId="0" xfId="0" applyFont="1" applyAlignment="1">
      <alignment/>
    </xf>
    <xf numFmtId="0" fontId="3" fillId="3" borderId="0" xfId="0" applyFont="1" applyFill="1" applyAlignment="1">
      <alignment/>
    </xf>
    <xf numFmtId="0" fontId="3" fillId="2" borderId="0" xfId="0" applyFont="1" applyFill="1" applyAlignment="1">
      <alignment/>
    </xf>
    <xf numFmtId="0" fontId="13" fillId="2" borderId="0" xfId="0" applyFont="1" applyFill="1" applyAlignment="1">
      <alignment/>
    </xf>
    <xf numFmtId="2" fontId="13" fillId="2" borderId="0" xfId="0" applyNumberFormat="1" applyFont="1" applyFill="1" applyAlignment="1">
      <alignment/>
    </xf>
    <xf numFmtId="2" fontId="3" fillId="2" borderId="0" xfId="0" applyNumberFormat="1" applyFont="1" applyFill="1" applyAlignment="1">
      <alignment/>
    </xf>
    <xf numFmtId="187" fontId="13" fillId="2" borderId="0" xfId="0" applyNumberFormat="1" applyFont="1" applyFill="1" applyAlignment="1">
      <alignment/>
    </xf>
    <xf numFmtId="0" fontId="3" fillId="8" borderId="0" xfId="0" applyFont="1" applyFill="1" applyAlignment="1">
      <alignment/>
    </xf>
    <xf numFmtId="187" fontId="3" fillId="4" borderId="0" xfId="0" applyNumberFormat="1" applyFont="1" applyFill="1" applyAlignment="1">
      <alignment/>
    </xf>
    <xf numFmtId="1" fontId="3" fillId="2" borderId="0" xfId="0" applyNumberFormat="1" applyFont="1" applyFill="1" applyAlignment="1">
      <alignment/>
    </xf>
    <xf numFmtId="0" fontId="14" fillId="7" borderId="2" xfId="0" applyFont="1" applyFill="1" applyBorder="1" applyAlignment="1">
      <alignment/>
    </xf>
    <xf numFmtId="0" fontId="1" fillId="7" borderId="0" xfId="0" applyFont="1" applyFill="1" applyBorder="1" applyAlignment="1">
      <alignment/>
    </xf>
    <xf numFmtId="0" fontId="3" fillId="7" borderId="0" xfId="0" applyFont="1" applyFill="1" applyBorder="1" applyAlignment="1">
      <alignment/>
    </xf>
    <xf numFmtId="0" fontId="0" fillId="5" borderId="0" xfId="0" applyFill="1" applyBorder="1" applyAlignment="1">
      <alignment/>
    </xf>
    <xf numFmtId="0" fontId="0" fillId="5" borderId="0" xfId="0" applyFont="1" applyFill="1" applyBorder="1" applyAlignment="1">
      <alignment/>
    </xf>
    <xf numFmtId="0" fontId="1" fillId="5" borderId="0" xfId="0" applyFont="1" applyFill="1" applyBorder="1" applyAlignment="1">
      <alignment horizontal="right"/>
    </xf>
    <xf numFmtId="0" fontId="3" fillId="5" borderId="0" xfId="0" applyFont="1" applyFill="1" applyBorder="1" applyAlignment="1">
      <alignment/>
    </xf>
    <xf numFmtId="0" fontId="2" fillId="5" borderId="0" xfId="0" applyFont="1" applyFill="1" applyBorder="1" applyAlignment="1">
      <alignment/>
    </xf>
    <xf numFmtId="0" fontId="8" fillId="5" borderId="0" xfId="0" applyFont="1" applyFill="1" applyBorder="1" applyAlignment="1">
      <alignment/>
    </xf>
    <xf numFmtId="0" fontId="1" fillId="5" borderId="8" xfId="0" applyFont="1" applyFill="1" applyBorder="1" applyAlignment="1">
      <alignment/>
    </xf>
    <xf numFmtId="0" fontId="7" fillId="5" borderId="8" xfId="0" applyFont="1" applyFill="1" applyBorder="1" applyAlignment="1">
      <alignment/>
    </xf>
    <xf numFmtId="0" fontId="0" fillId="5" borderId="8" xfId="0" applyFill="1" applyBorder="1" applyAlignment="1">
      <alignment/>
    </xf>
    <xf numFmtId="0" fontId="2" fillId="5" borderId="8" xfId="0" applyFont="1" applyFill="1" applyBorder="1" applyAlignment="1">
      <alignment/>
    </xf>
    <xf numFmtId="1" fontId="13" fillId="2" borderId="0" xfId="0" applyNumberFormat="1" applyFont="1" applyFill="1" applyAlignment="1">
      <alignment/>
    </xf>
    <xf numFmtId="0" fontId="0" fillId="3" borderId="0" xfId="0" applyFill="1" applyAlignment="1">
      <alignment textRotation="60"/>
    </xf>
    <xf numFmtId="0" fontId="0" fillId="3" borderId="9" xfId="0" applyFill="1" applyBorder="1" applyAlignment="1">
      <alignment/>
    </xf>
    <xf numFmtId="0" fontId="2" fillId="9" borderId="0" xfId="0" applyFont="1" applyFill="1" applyAlignment="1">
      <alignment/>
    </xf>
    <xf numFmtId="0" fontId="0" fillId="9" borderId="0" xfId="0" applyFill="1" applyAlignment="1">
      <alignment textRotation="60"/>
    </xf>
    <xf numFmtId="0" fontId="0" fillId="9" borderId="0" xfId="0" applyFill="1" applyAlignment="1">
      <alignment/>
    </xf>
    <xf numFmtId="0" fontId="0" fillId="9" borderId="9" xfId="0" applyFill="1" applyBorder="1" applyAlignment="1">
      <alignment/>
    </xf>
    <xf numFmtId="0" fontId="2" fillId="4" borderId="0" xfId="0" applyFont="1" applyFill="1" applyAlignment="1">
      <alignment/>
    </xf>
    <xf numFmtId="0" fontId="0" fillId="4" borderId="0" xfId="0" applyFill="1" applyAlignment="1">
      <alignment textRotation="60"/>
    </xf>
    <xf numFmtId="0" fontId="0" fillId="4" borderId="9" xfId="0" applyFill="1" applyBorder="1" applyAlignment="1">
      <alignment/>
    </xf>
    <xf numFmtId="0" fontId="2" fillId="10" borderId="0" xfId="0" applyFont="1" applyFill="1" applyAlignment="1">
      <alignment/>
    </xf>
    <xf numFmtId="0" fontId="0" fillId="10" borderId="0" xfId="0" applyFill="1" applyAlignment="1">
      <alignment textRotation="60"/>
    </xf>
    <xf numFmtId="0" fontId="0" fillId="10" borderId="0" xfId="0" applyFill="1" applyAlignment="1">
      <alignment/>
    </xf>
    <xf numFmtId="0" fontId="0" fillId="10" borderId="9" xfId="0" applyFill="1" applyBorder="1" applyAlignment="1">
      <alignment/>
    </xf>
    <xf numFmtId="0" fontId="2" fillId="11" borderId="0" xfId="0" applyFont="1" applyFill="1" applyAlignment="1">
      <alignment/>
    </xf>
    <xf numFmtId="0" fontId="0" fillId="11" borderId="0" xfId="0" applyFill="1" applyAlignment="1">
      <alignment/>
    </xf>
    <xf numFmtId="0" fontId="0" fillId="11" borderId="0" xfId="0" applyFill="1" applyAlignment="1">
      <alignment textRotation="60"/>
    </xf>
    <xf numFmtId="0" fontId="2" fillId="11" borderId="0" xfId="0" applyFont="1" applyFill="1" applyAlignment="1">
      <alignment textRotation="60"/>
    </xf>
    <xf numFmtId="0" fontId="0" fillId="11" borderId="9" xfId="0" applyFill="1" applyBorder="1" applyAlignment="1">
      <alignment/>
    </xf>
    <xf numFmtId="0" fontId="12" fillId="0" borderId="0" xfId="0" applyFont="1" applyAlignment="1">
      <alignment vertical="top" wrapText="1"/>
    </xf>
    <xf numFmtId="0" fontId="11" fillId="0" borderId="0" xfId="0" applyFont="1" applyAlignment="1">
      <alignment/>
    </xf>
    <xf numFmtId="0" fontId="24" fillId="0" borderId="0" xfId="0" applyFont="1" applyAlignment="1">
      <alignment/>
    </xf>
    <xf numFmtId="0" fontId="0" fillId="11" borderId="0" xfId="0" applyFill="1" applyBorder="1" applyAlignment="1">
      <alignment/>
    </xf>
    <xf numFmtId="0" fontId="0" fillId="3" borderId="0" xfId="0" applyFill="1" applyBorder="1" applyAlignment="1">
      <alignment/>
    </xf>
    <xf numFmtId="0" fontId="0" fillId="9" borderId="0" xfId="0" applyFill="1" applyBorder="1" applyAlignment="1">
      <alignment/>
    </xf>
    <xf numFmtId="0" fontId="0" fillId="4" borderId="0" xfId="0" applyFill="1" applyBorder="1" applyAlignment="1">
      <alignment/>
    </xf>
    <xf numFmtId="0" fontId="0" fillId="10" borderId="0" xfId="0" applyFill="1" applyBorder="1" applyAlignment="1">
      <alignment/>
    </xf>
    <xf numFmtId="0" fontId="10" fillId="10" borderId="0" xfId="0" applyFont="1" applyFill="1" applyAlignment="1">
      <alignment/>
    </xf>
    <xf numFmtId="0" fontId="1" fillId="10" borderId="0" xfId="0" applyFont="1" applyFill="1" applyAlignment="1">
      <alignment/>
    </xf>
    <xf numFmtId="0" fontId="1" fillId="2" borderId="0" xfId="0" applyFont="1" applyFill="1" applyAlignment="1">
      <alignment/>
    </xf>
    <xf numFmtId="0" fontId="24" fillId="0" borderId="0" xfId="0" applyFont="1" applyAlignment="1">
      <alignment/>
    </xf>
    <xf numFmtId="0" fontId="0" fillId="0" borderId="0" xfId="21">
      <alignment/>
      <protection/>
    </xf>
    <xf numFmtId="0" fontId="9" fillId="0" borderId="0" xfId="21" applyFont="1">
      <alignment/>
      <protection/>
    </xf>
    <xf numFmtId="0" fontId="0" fillId="0" borderId="0" xfId="21" applyFont="1" applyAlignment="1">
      <alignment horizontal="left" indent="2"/>
      <protection/>
    </xf>
    <xf numFmtId="0" fontId="0" fillId="0" borderId="0" xfId="21" applyFont="1">
      <alignment/>
      <protection/>
    </xf>
    <xf numFmtId="0" fontId="1" fillId="0" borderId="0" xfId="0" applyFont="1" applyAlignment="1">
      <alignment textRotation="72"/>
    </xf>
    <xf numFmtId="0" fontId="7" fillId="0" borderId="0" xfId="0" applyFont="1" applyAlignment="1">
      <alignment textRotation="72"/>
    </xf>
    <xf numFmtId="0" fontId="1" fillId="0" borderId="0" xfId="21" applyFont="1">
      <alignment/>
      <protection/>
    </xf>
    <xf numFmtId="0" fontId="2" fillId="0" borderId="0" xfId="21" applyFont="1">
      <alignment/>
      <protection/>
    </xf>
    <xf numFmtId="0" fontId="0" fillId="0" borderId="0" xfId="21" applyFont="1" applyAlignment="1">
      <alignment horizontal="left" indent="1"/>
      <protection/>
    </xf>
    <xf numFmtId="0" fontId="1" fillId="0" borderId="0" xfId="21" applyFont="1" applyAlignment="1">
      <alignment horizontal="left" indent="2"/>
      <protection/>
    </xf>
    <xf numFmtId="0" fontId="0" fillId="12" borderId="0" xfId="21" applyFill="1">
      <alignment/>
      <protection/>
    </xf>
    <xf numFmtId="0" fontId="0" fillId="4" borderId="0" xfId="21" applyFont="1" applyFill="1" applyAlignment="1">
      <alignment horizontal="left" indent="2"/>
      <protection/>
    </xf>
    <xf numFmtId="0" fontId="0" fillId="4" borderId="0" xfId="21" applyFill="1">
      <alignment/>
      <protection/>
    </xf>
    <xf numFmtId="0" fontId="0" fillId="4" borderId="0" xfId="21" applyFont="1" applyFill="1">
      <alignment/>
      <protection/>
    </xf>
    <xf numFmtId="0" fontId="1" fillId="4" borderId="0" xfId="0" applyFont="1" applyFill="1" applyAlignment="1">
      <alignment/>
    </xf>
    <xf numFmtId="0" fontId="1" fillId="4" borderId="0" xfId="0" applyFont="1" applyFill="1" applyAlignment="1">
      <alignment textRotation="72"/>
    </xf>
    <xf numFmtId="0" fontId="1" fillId="4" borderId="0" xfId="0" applyNumberFormat="1" applyFont="1" applyFill="1" applyAlignment="1">
      <alignment/>
    </xf>
    <xf numFmtId="9" fontId="3" fillId="4" borderId="0" xfId="21" applyNumberFormat="1" applyFont="1" applyFill="1">
      <alignment/>
      <protection/>
    </xf>
    <xf numFmtId="0" fontId="0" fillId="13" borderId="0" xfId="0" applyFill="1" applyAlignment="1">
      <alignment/>
    </xf>
    <xf numFmtId="0" fontId="0" fillId="5" borderId="0" xfId="0" applyFont="1" applyFill="1" applyBorder="1" applyAlignment="1">
      <alignment horizontal="left"/>
    </xf>
    <xf numFmtId="0" fontId="1" fillId="5" borderId="0" xfId="0" applyFont="1" applyFill="1" applyBorder="1" applyAlignment="1">
      <alignment/>
    </xf>
    <xf numFmtId="0" fontId="0" fillId="14" borderId="0" xfId="0" applyFill="1" applyAlignment="1">
      <alignment/>
    </xf>
    <xf numFmtId="0" fontId="3" fillId="13" borderId="0" xfId="0" applyFont="1" applyFill="1" applyAlignment="1">
      <alignment/>
    </xf>
    <xf numFmtId="0" fontId="0" fillId="14" borderId="0" xfId="0" applyFill="1" applyBorder="1" applyAlignment="1">
      <alignment/>
    </xf>
    <xf numFmtId="0" fontId="25" fillId="0" borderId="0" xfId="0" applyFont="1" applyAlignment="1">
      <alignment/>
    </xf>
    <xf numFmtId="0" fontId="1" fillId="13" borderId="0" xfId="0" applyFont="1" applyFill="1" applyAlignment="1">
      <alignment/>
    </xf>
    <xf numFmtId="187" fontId="1" fillId="13" borderId="0" xfId="0" applyNumberFormat="1" applyFont="1" applyFill="1" applyAlignment="1">
      <alignment/>
    </xf>
    <xf numFmtId="0" fontId="1" fillId="15" borderId="0" xfId="0" applyFont="1" applyFill="1" applyAlignment="1">
      <alignment/>
    </xf>
    <xf numFmtId="0" fontId="0" fillId="15" borderId="0" xfId="0" applyFill="1" applyAlignment="1">
      <alignment/>
    </xf>
    <xf numFmtId="0" fontId="0" fillId="15" borderId="0" xfId="0" applyFont="1" applyFill="1" applyAlignment="1">
      <alignment/>
    </xf>
    <xf numFmtId="194" fontId="0" fillId="15" borderId="0" xfId="22" applyNumberFormat="1" applyFill="1" applyAlignment="1">
      <alignment/>
    </xf>
    <xf numFmtId="9" fontId="0" fillId="15" borderId="0" xfId="22" applyFont="1" applyFill="1" applyAlignment="1">
      <alignment/>
    </xf>
    <xf numFmtId="0" fontId="24" fillId="15" borderId="0" xfId="0" applyFont="1" applyFill="1" applyAlignment="1">
      <alignment/>
    </xf>
    <xf numFmtId="194" fontId="0" fillId="15" borderId="0" xfId="0" applyNumberFormat="1" applyFill="1" applyAlignment="1">
      <alignment/>
    </xf>
    <xf numFmtId="0" fontId="27" fillId="0" borderId="0" xfId="0" applyFont="1" applyAlignment="1">
      <alignment/>
    </xf>
    <xf numFmtId="0" fontId="0" fillId="0" borderId="0" xfId="0" applyAlignment="1">
      <alignment vertical="center"/>
    </xf>
    <xf numFmtId="0" fontId="0" fillId="0" borderId="0" xfId="0" applyFont="1" applyAlignment="1">
      <alignment/>
    </xf>
    <xf numFmtId="0" fontId="28" fillId="16" borderId="9" xfId="0" applyFont="1" applyFill="1" applyBorder="1" applyAlignment="1">
      <alignment vertical="center"/>
    </xf>
    <xf numFmtId="0" fontId="28" fillId="16" borderId="10" xfId="0" applyFont="1" applyFill="1" applyBorder="1" applyAlignment="1">
      <alignment vertical="center"/>
    </xf>
    <xf numFmtId="0" fontId="28" fillId="16" borderId="11" xfId="0" applyFont="1" applyFill="1" applyBorder="1" applyAlignment="1">
      <alignment vertical="center"/>
    </xf>
    <xf numFmtId="0" fontId="0" fillId="0" borderId="0" xfId="0" applyBorder="1" applyAlignment="1">
      <alignment/>
    </xf>
    <xf numFmtId="0" fontId="0" fillId="0" borderId="12" xfId="0" applyBorder="1" applyAlignment="1">
      <alignment horizontal="left" vertical="center"/>
    </xf>
    <xf numFmtId="0" fontId="0" fillId="0" borderId="12" xfId="0" applyBorder="1" applyAlignment="1">
      <alignment vertical="center"/>
    </xf>
    <xf numFmtId="0" fontId="28" fillId="16" borderId="7" xfId="0" applyFont="1" applyFill="1" applyBorder="1" applyAlignment="1">
      <alignment vertical="center"/>
    </xf>
    <xf numFmtId="0" fontId="0" fillId="0" borderId="13" xfId="0" applyBorder="1" applyAlignment="1">
      <alignment/>
    </xf>
    <xf numFmtId="0" fontId="29" fillId="17" borderId="0" xfId="0" applyFont="1" applyFill="1" applyAlignment="1">
      <alignment/>
    </xf>
    <xf numFmtId="0" fontId="35" fillId="0" borderId="0" xfId="0" applyFont="1" applyAlignment="1">
      <alignment horizontal="left"/>
    </xf>
    <xf numFmtId="0" fontId="0" fillId="0" borderId="6" xfId="0" applyBorder="1" applyAlignment="1">
      <alignment/>
    </xf>
    <xf numFmtId="0" fontId="0" fillId="0" borderId="8" xfId="0" applyBorder="1" applyAlignment="1">
      <alignment/>
    </xf>
    <xf numFmtId="0" fontId="0" fillId="0" borderId="4" xfId="0" applyBorder="1" applyAlignment="1">
      <alignment/>
    </xf>
    <xf numFmtId="0" fontId="0" fillId="0" borderId="7" xfId="0" applyBorder="1" applyAlignment="1">
      <alignment/>
    </xf>
    <xf numFmtId="0" fontId="0" fillId="0" borderId="1" xfId="0" applyBorder="1" applyAlignment="1">
      <alignment/>
    </xf>
    <xf numFmtId="0" fontId="0" fillId="0" borderId="5" xfId="0" applyBorder="1" applyAlignment="1">
      <alignment/>
    </xf>
    <xf numFmtId="0" fontId="0" fillId="0" borderId="2" xfId="0" applyBorder="1" applyAlignment="1">
      <alignment/>
    </xf>
    <xf numFmtId="0" fontId="0" fillId="0" borderId="3" xfId="0" applyBorder="1" applyAlignment="1">
      <alignment/>
    </xf>
    <xf numFmtId="0" fontId="1" fillId="0" borderId="10" xfId="0" applyFont="1" applyBorder="1" applyAlignment="1">
      <alignment vertical="center"/>
    </xf>
    <xf numFmtId="0" fontId="0" fillId="0" borderId="0" xfId="0" applyAlignment="1">
      <alignment horizontal="center"/>
    </xf>
    <xf numFmtId="0" fontId="42" fillId="0" borderId="0" xfId="0" applyFont="1" applyAlignment="1">
      <alignment horizontal="center"/>
    </xf>
    <xf numFmtId="0" fontId="4" fillId="0" borderId="0" xfId="15" applyAlignment="1">
      <alignment/>
    </xf>
    <xf numFmtId="10" fontId="0" fillId="0" borderId="0" xfId="0" applyNumberFormat="1" applyAlignment="1">
      <alignment/>
    </xf>
    <xf numFmtId="194" fontId="0" fillId="0" borderId="0" xfId="0" applyNumberFormat="1" applyAlignment="1">
      <alignment/>
    </xf>
    <xf numFmtId="0" fontId="35" fillId="12" borderId="0" xfId="0" applyFont="1" applyFill="1" applyAlignment="1">
      <alignment/>
    </xf>
    <xf numFmtId="0" fontId="35" fillId="12" borderId="14" xfId="0" applyFont="1" applyFill="1" applyBorder="1" applyAlignment="1">
      <alignment/>
    </xf>
    <xf numFmtId="0" fontId="35" fillId="12" borderId="15" xfId="0" applyFont="1" applyFill="1" applyBorder="1" applyAlignment="1">
      <alignment/>
    </xf>
    <xf numFmtId="0" fontId="35" fillId="12" borderId="16" xfId="0" applyFont="1" applyFill="1" applyBorder="1" applyAlignment="1">
      <alignment/>
    </xf>
    <xf numFmtId="0" fontId="35" fillId="12" borderId="17" xfId="0" applyFont="1" applyFill="1" applyBorder="1" applyAlignment="1">
      <alignment/>
    </xf>
    <xf numFmtId="0" fontId="30" fillId="12" borderId="0" xfId="0" applyFont="1" applyFill="1" applyAlignment="1">
      <alignment/>
    </xf>
    <xf numFmtId="0" fontId="30" fillId="12" borderId="0" xfId="0" applyFont="1" applyFill="1" applyAlignment="1">
      <alignment horizontal="center"/>
    </xf>
    <xf numFmtId="0" fontId="0" fillId="0" borderId="0" xfId="0" applyFont="1" applyFill="1" applyAlignment="1">
      <alignment horizontal="center"/>
    </xf>
    <xf numFmtId="11" fontId="0" fillId="0" borderId="0" xfId="0" applyNumberFormat="1" applyAlignment="1">
      <alignment/>
    </xf>
    <xf numFmtId="0" fontId="0" fillId="0" borderId="0" xfId="0" applyNumberFormat="1" applyAlignment="1">
      <alignment/>
    </xf>
    <xf numFmtId="0" fontId="0" fillId="0" borderId="0" xfId="0" applyAlignment="1">
      <alignment horizontal="left"/>
    </xf>
    <xf numFmtId="186" fontId="0" fillId="10" borderId="0" xfId="0" applyNumberFormat="1" applyFill="1" applyAlignment="1">
      <alignment horizontal="center"/>
    </xf>
    <xf numFmtId="0" fontId="0" fillId="10" borderId="0" xfId="0" applyFill="1" applyAlignment="1">
      <alignment horizontal="center"/>
    </xf>
    <xf numFmtId="0" fontId="0" fillId="0" borderId="0" xfId="0" applyFont="1" applyFill="1" applyAlignment="1">
      <alignment/>
    </xf>
    <xf numFmtId="0" fontId="0" fillId="12" borderId="0" xfId="0" applyFill="1" applyAlignment="1">
      <alignment/>
    </xf>
    <xf numFmtId="0" fontId="1" fillId="18" borderId="0" xfId="0" applyFont="1" applyFill="1" applyAlignment="1">
      <alignment/>
    </xf>
    <xf numFmtId="0" fontId="0" fillId="18" borderId="0" xfId="0" applyFill="1" applyAlignment="1">
      <alignment/>
    </xf>
    <xf numFmtId="0" fontId="25" fillId="18" borderId="0" xfId="0" applyFont="1" applyFill="1" applyAlignment="1">
      <alignment/>
    </xf>
    <xf numFmtId="0" fontId="1" fillId="19" borderId="0" xfId="0" applyFont="1" applyFill="1" applyAlignment="1">
      <alignment/>
    </xf>
    <xf numFmtId="0" fontId="0" fillId="19" borderId="0" xfId="0" applyFill="1" applyAlignment="1">
      <alignment/>
    </xf>
    <xf numFmtId="0" fontId="0" fillId="16" borderId="0" xfId="0" applyFill="1" applyAlignment="1">
      <alignment/>
    </xf>
    <xf numFmtId="0" fontId="44" fillId="16" borderId="0" xfId="0" applyFont="1" applyFill="1" applyAlignment="1">
      <alignment/>
    </xf>
    <xf numFmtId="0" fontId="44" fillId="16" borderId="0" xfId="0" applyFont="1" applyFill="1" applyAlignment="1">
      <alignment horizontal="left"/>
    </xf>
    <xf numFmtId="0" fontId="44" fillId="16" borderId="0" xfId="0" applyFont="1" applyFill="1" applyAlignment="1">
      <alignment/>
    </xf>
    <xf numFmtId="0" fontId="44" fillId="16" borderId="0" xfId="0" applyNumberFormat="1" applyFont="1" applyFill="1" applyAlignment="1">
      <alignment/>
    </xf>
    <xf numFmtId="0" fontId="7" fillId="16" borderId="0" xfId="0" applyFont="1" applyFill="1" applyAlignment="1">
      <alignment horizontal="left" indent="2"/>
    </xf>
    <xf numFmtId="0" fontId="10" fillId="3" borderId="0" xfId="0" applyFont="1" applyFill="1" applyAlignment="1">
      <alignment wrapText="1"/>
    </xf>
    <xf numFmtId="0" fontId="0" fillId="10" borderId="0" xfId="21" applyFill="1">
      <alignment/>
      <protection/>
    </xf>
    <xf numFmtId="0" fontId="9" fillId="10" borderId="0" xfId="21" applyFont="1" applyFill="1">
      <alignment/>
      <protection/>
    </xf>
    <xf numFmtId="0" fontId="1" fillId="8" borderId="0" xfId="0" applyFont="1" applyFill="1" applyAlignment="1">
      <alignment horizontal="left" indent="7"/>
    </xf>
    <xf numFmtId="0" fontId="44" fillId="8" borderId="0" xfId="0" applyFont="1" applyFill="1" applyAlignment="1">
      <alignment horizontal="left" indent="7"/>
    </xf>
    <xf numFmtId="0" fontId="1" fillId="8" borderId="0" xfId="0" applyFont="1" applyFill="1" applyAlignment="1">
      <alignment/>
    </xf>
    <xf numFmtId="0" fontId="46" fillId="8" borderId="0" xfId="15" applyFont="1" applyFill="1" applyAlignment="1">
      <alignment/>
    </xf>
    <xf numFmtId="186" fontId="1" fillId="12" borderId="0" xfId="0" applyNumberFormat="1" applyFont="1" applyFill="1" applyAlignment="1">
      <alignment horizontal="center"/>
    </xf>
    <xf numFmtId="0" fontId="43" fillId="16" borderId="0" xfId="0" applyFont="1" applyFill="1" applyAlignment="1">
      <alignment horizontal="left"/>
    </xf>
    <xf numFmtId="0" fontId="49" fillId="16" borderId="0" xfId="0" applyFont="1" applyFill="1" applyAlignment="1">
      <alignment/>
    </xf>
    <xf numFmtId="0" fontId="48" fillId="16" borderId="0" xfId="0" applyFont="1" applyFill="1" applyAlignment="1">
      <alignment horizontal="left"/>
    </xf>
    <xf numFmtId="0" fontId="25" fillId="16" borderId="0" xfId="0" applyFont="1" applyFill="1" applyAlignment="1">
      <alignment horizontal="left"/>
    </xf>
    <xf numFmtId="0" fontId="3" fillId="0" borderId="0" xfId="0" applyFont="1" applyAlignment="1">
      <alignment/>
    </xf>
    <xf numFmtId="0" fontId="3" fillId="11" borderId="0" xfId="0" applyFont="1" applyFill="1" applyAlignment="1">
      <alignment/>
    </xf>
    <xf numFmtId="0" fontId="3" fillId="2" borderId="0" xfId="0" applyFont="1" applyFill="1" applyAlignment="1">
      <alignment/>
    </xf>
    <xf numFmtId="187" fontId="3" fillId="0" borderId="0" xfId="0" applyNumberFormat="1" applyFont="1" applyAlignment="1">
      <alignment/>
    </xf>
    <xf numFmtId="1" fontId="3" fillId="0" borderId="0" xfId="0" applyNumberFormat="1" applyFont="1" applyAlignment="1">
      <alignment/>
    </xf>
    <xf numFmtId="0" fontId="50" fillId="16" borderId="0" xfId="0" applyFont="1" applyFill="1" applyAlignment="1">
      <alignment/>
    </xf>
    <xf numFmtId="0" fontId="51" fillId="16" borderId="0" xfId="0" applyFont="1" applyFill="1" applyAlignment="1">
      <alignment/>
    </xf>
    <xf numFmtId="0" fontId="52" fillId="16" borderId="0" xfId="0" applyFont="1" applyFill="1" applyAlignment="1">
      <alignment/>
    </xf>
    <xf numFmtId="0" fontId="52" fillId="16" borderId="0" xfId="0" applyFont="1" applyFill="1" applyAlignment="1">
      <alignment horizontal="left"/>
    </xf>
    <xf numFmtId="0" fontId="12" fillId="16" borderId="0" xfId="0" applyFont="1" applyFill="1" applyBorder="1" applyAlignment="1">
      <alignment vertical="center"/>
    </xf>
    <xf numFmtId="0" fontId="33" fillId="4" borderId="0" xfId="0" applyFont="1" applyFill="1" applyBorder="1" applyAlignment="1">
      <alignment/>
    </xf>
    <xf numFmtId="0" fontId="2" fillId="16" borderId="0" xfId="0" applyFont="1" applyFill="1" applyAlignment="1">
      <alignment/>
    </xf>
    <xf numFmtId="0" fontId="25" fillId="4" borderId="0" xfId="0" applyFont="1" applyFill="1" applyAlignment="1">
      <alignment/>
    </xf>
    <xf numFmtId="0" fontId="9" fillId="15" borderId="0" xfId="0" applyFont="1" applyFill="1" applyAlignment="1">
      <alignment/>
    </xf>
    <xf numFmtId="0" fontId="0" fillId="15" borderId="0" xfId="0" applyFill="1" applyAlignment="1">
      <alignment horizontal="left" indent="1"/>
    </xf>
    <xf numFmtId="0" fontId="24" fillId="15" borderId="0" xfId="0" applyFont="1" applyFill="1" applyAlignment="1">
      <alignment horizontal="left" indent="1"/>
    </xf>
    <xf numFmtId="0" fontId="25" fillId="15" borderId="0" xfId="0" applyFont="1" applyFill="1" applyAlignment="1">
      <alignment horizontal="left" indent="1"/>
    </xf>
    <xf numFmtId="0" fontId="27" fillId="0" borderId="0" xfId="0" applyFont="1" applyBorder="1" applyAlignment="1">
      <alignment vertical="top"/>
    </xf>
    <xf numFmtId="0" fontId="33" fillId="0" borderId="0" xfId="0" applyFont="1" applyBorder="1" applyAlignment="1">
      <alignment/>
    </xf>
    <xf numFmtId="0" fontId="0" fillId="0" borderId="13" xfId="0" applyBorder="1" applyAlignment="1">
      <alignment horizontal="center"/>
    </xf>
    <xf numFmtId="0" fontId="0" fillId="0" borderId="18" xfId="0" applyBorder="1" applyAlignment="1">
      <alignment horizontal="center"/>
    </xf>
    <xf numFmtId="0" fontId="1" fillId="0" borderId="13" xfId="0" applyFont="1" applyBorder="1" applyAlignment="1">
      <alignment horizontal="left" vertical="center" indent="1"/>
    </xf>
    <xf numFmtId="0" fontId="0" fillId="0" borderId="19" xfId="0" applyBorder="1" applyAlignment="1">
      <alignment horizontal="left" vertical="center" indent="1"/>
    </xf>
    <xf numFmtId="0" fontId="0" fillId="0" borderId="18" xfId="0" applyBorder="1" applyAlignment="1">
      <alignment horizontal="left" vertical="center" indent="1"/>
    </xf>
    <xf numFmtId="0" fontId="38" fillId="17" borderId="19" xfId="0" applyFont="1" applyFill="1" applyBorder="1" applyAlignment="1">
      <alignment horizontal="left" vertical="center"/>
    </xf>
    <xf numFmtId="0" fontId="38" fillId="17" borderId="18" xfId="0" applyFont="1" applyFill="1" applyBorder="1" applyAlignment="1">
      <alignment horizontal="left" vertical="center"/>
    </xf>
    <xf numFmtId="0" fontId="11" fillId="0" borderId="2" xfId="0" applyFont="1" applyBorder="1" applyAlignment="1">
      <alignment/>
    </xf>
    <xf numFmtId="0" fontId="11" fillId="0" borderId="3" xfId="0" applyFont="1" applyBorder="1" applyAlignment="1">
      <alignment/>
    </xf>
    <xf numFmtId="0" fontId="38" fillId="17" borderId="20" xfId="0" applyFont="1" applyFill="1" applyBorder="1" applyAlignment="1">
      <alignment horizontal="left" vertical="center"/>
    </xf>
    <xf numFmtId="0" fontId="38" fillId="17" borderId="21" xfId="0" applyFont="1" applyFill="1" applyBorder="1" applyAlignment="1">
      <alignment horizontal="left" vertical="center"/>
    </xf>
    <xf numFmtId="0" fontId="38" fillId="17" borderId="21" xfId="0" applyFont="1" applyFill="1" applyBorder="1" applyAlignment="1">
      <alignment horizontal="center" vertical="center"/>
    </xf>
    <xf numFmtId="0" fontId="29" fillId="12" borderId="19" xfId="0" applyFont="1" applyFill="1" applyBorder="1" applyAlignment="1">
      <alignment horizontal="center"/>
    </xf>
    <xf numFmtId="1" fontId="0" fillId="0" borderId="13" xfId="0" applyNumberFormat="1" applyBorder="1" applyAlignment="1">
      <alignment horizontal="center"/>
    </xf>
    <xf numFmtId="1" fontId="0" fillId="0" borderId="19" xfId="0" applyNumberFormat="1" applyBorder="1" applyAlignment="1">
      <alignment horizontal="center"/>
    </xf>
    <xf numFmtId="1" fontId="0" fillId="0" borderId="18" xfId="0" applyNumberFormat="1" applyBorder="1" applyAlignment="1">
      <alignment horizontal="center"/>
    </xf>
    <xf numFmtId="0" fontId="0" fillId="0" borderId="19" xfId="0" applyBorder="1" applyAlignment="1">
      <alignment horizontal="center"/>
    </xf>
    <xf numFmtId="0" fontId="0" fillId="0" borderId="13" xfId="0" applyBorder="1" applyAlignment="1">
      <alignment horizontal="left" indent="1"/>
    </xf>
    <xf numFmtId="0" fontId="0" fillId="0" borderId="19" xfId="0" applyBorder="1" applyAlignment="1">
      <alignment horizontal="left" indent="1"/>
    </xf>
    <xf numFmtId="0" fontId="0" fillId="0" borderId="18" xfId="0" applyBorder="1" applyAlignment="1">
      <alignment horizontal="left" indent="1"/>
    </xf>
    <xf numFmtId="0" fontId="0" fillId="0" borderId="13" xfId="0" applyBorder="1" applyAlignment="1">
      <alignment horizontal="right" indent="1"/>
    </xf>
    <xf numFmtId="0" fontId="0" fillId="0" borderId="19" xfId="0" applyBorder="1" applyAlignment="1">
      <alignment horizontal="right" indent="1"/>
    </xf>
    <xf numFmtId="0" fontId="0" fillId="0" borderId="18" xfId="0" applyBorder="1" applyAlignment="1">
      <alignment horizontal="right" indent="1"/>
    </xf>
    <xf numFmtId="0" fontId="0" fillId="0" borderId="0" xfId="0" applyBorder="1" applyAlignment="1">
      <alignment/>
    </xf>
    <xf numFmtId="0" fontId="8" fillId="0" borderId="13" xfId="0" applyFont="1" applyBorder="1" applyAlignment="1">
      <alignment horizontal="left" vertical="center"/>
    </xf>
    <xf numFmtId="0" fontId="0" fillId="0" borderId="19" xfId="0" applyBorder="1" applyAlignment="1">
      <alignment/>
    </xf>
    <xf numFmtId="0" fontId="0" fillId="0" borderId="18" xfId="0" applyBorder="1" applyAlignment="1">
      <alignment/>
    </xf>
    <xf numFmtId="0" fontId="8" fillId="0" borderId="7" xfId="0" applyFont="1" applyBorder="1" applyAlignment="1">
      <alignment horizontal="left" vertical="center"/>
    </xf>
    <xf numFmtId="0" fontId="0" fillId="0" borderId="1" xfId="0" applyBorder="1" applyAlignment="1">
      <alignment/>
    </xf>
    <xf numFmtId="0" fontId="0" fillId="0" borderId="5" xfId="0" applyBorder="1" applyAlignment="1">
      <alignment/>
    </xf>
    <xf numFmtId="0" fontId="29" fillId="17" borderId="13" xfId="0" applyFont="1" applyFill="1" applyBorder="1" applyAlignment="1">
      <alignment vertical="top"/>
    </xf>
    <xf numFmtId="0" fontId="30" fillId="17" borderId="19" xfId="0" applyFont="1" applyFill="1" applyBorder="1" applyAlignment="1">
      <alignment/>
    </xf>
    <xf numFmtId="0" fontId="1" fillId="15" borderId="0" xfId="0" applyFont="1" applyFill="1" applyAlignment="1">
      <alignment horizontal="center"/>
    </xf>
    <xf numFmtId="0" fontId="0" fillId="0" borderId="0" xfId="0" applyFill="1" applyAlignment="1">
      <alignment/>
    </xf>
    <xf numFmtId="0" fontId="9" fillId="0" borderId="0" xfId="0" applyFont="1" applyFill="1" applyAlignment="1">
      <alignment/>
    </xf>
  </cellXfs>
  <cellStyles count="9">
    <cellStyle name="Normal" xfId="0"/>
    <cellStyle name="Hyperlink" xfId="15"/>
    <cellStyle name="Followed Hyperlink" xfId="16"/>
    <cellStyle name="Comma" xfId="17"/>
    <cellStyle name="Comma [0]" xfId="18"/>
    <cellStyle name="Currency" xfId="19"/>
    <cellStyle name="Currency [0]" xfId="20"/>
    <cellStyle name="Normal_population_and_graph_style" xfId="21"/>
    <cellStyle name="Percent" xfId="22"/>
  </cellStyles>
  <dxfs count="2">
    <dxf>
      <font>
        <color rgb="FFFFFFFF"/>
      </font>
      <fill>
        <patternFill>
          <bgColor rgb="FFFFFFFF"/>
        </patternFill>
      </fill>
      <border/>
    </dxf>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475"/>
          <c:w val="0.62025"/>
          <c:h val="0.935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info!$E$2:$E$9</c:f>
              <c:strCache>
                <c:ptCount val="8"/>
                <c:pt idx="0">
                  <c:v>Wall hung non cond</c:v>
                </c:pt>
                <c:pt idx="1">
                  <c:v>Wall hung cond</c:v>
                </c:pt>
                <c:pt idx="2">
                  <c:v>Floor standing non cond</c:v>
                </c:pt>
                <c:pt idx="3">
                  <c:v>Floor standing cond</c:v>
                </c:pt>
                <c:pt idx="4">
                  <c:v>Jet burner (oil) </c:v>
                </c:pt>
                <c:pt idx="5">
                  <c:v>Jet burner (gas) </c:v>
                </c:pt>
                <c:pt idx="6">
                  <c:v>Solid fuels</c:v>
                </c:pt>
                <c:pt idx="7">
                  <c:v>Heat pumps</c:v>
                </c:pt>
              </c:strCache>
            </c:strRef>
          </c:cat>
          <c:val>
            <c:numRef>
              <c:f>info!$F$2:$F$9</c:f>
              <c:numCache>
                <c:ptCount val="8"/>
                <c:pt idx="0">
                  <c:v>13143</c:v>
                </c:pt>
                <c:pt idx="1">
                  <c:v>1150</c:v>
                </c:pt>
                <c:pt idx="2">
                  <c:v>5412</c:v>
                </c:pt>
                <c:pt idx="3">
                  <c:v>0</c:v>
                </c:pt>
                <c:pt idx="4">
                  <c:v>1100</c:v>
                </c:pt>
                <c:pt idx="5">
                  <c:v>0</c:v>
                </c:pt>
                <c:pt idx="6">
                  <c:v>385</c:v>
                </c:pt>
                <c:pt idx="7">
                  <c:v>0</c:v>
                </c:pt>
              </c:numCache>
            </c:numRef>
          </c:val>
        </c:ser>
      </c:pieChart>
      <c:spPr>
        <a:noFill/>
        <a:ln>
          <a:noFill/>
        </a:ln>
      </c:spPr>
    </c:plotArea>
    <c:legend>
      <c:legendPos val="r"/>
      <c:layout>
        <c:manualLayout>
          <c:xMode val="edge"/>
          <c:yMode val="edge"/>
          <c:x val="0.7215"/>
          <c:y val="0.291"/>
        </c:manualLayout>
      </c:layout>
      <c:overlay val="0"/>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
          <c:w val="0.956"/>
          <c:h val="0.95225"/>
        </c:manualLayout>
      </c:layout>
      <c:scatterChart>
        <c:scatterStyle val="line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FF0000"/>
                </a:solidFill>
              </a:ln>
            </c:spPr>
          </c:marker>
          <c:xVal>
            <c:numRef>
              <c:f>'user2 calculation'!$M$3:$Q$3</c:f>
              <c:numCache>
                <c:ptCount val="5"/>
                <c:pt idx="0">
                  <c:v>2008</c:v>
                </c:pt>
                <c:pt idx="1">
                  <c:v>2009</c:v>
                </c:pt>
                <c:pt idx="2">
                  <c:v>2010</c:v>
                </c:pt>
                <c:pt idx="3">
                  <c:v>2011</c:v>
                </c:pt>
                <c:pt idx="4">
                  <c:v>2012</c:v>
                </c:pt>
              </c:numCache>
            </c:numRef>
          </c:xVal>
          <c:yVal>
            <c:numRef>
              <c:f>'user2 calculation'!$M$4:$Q$4</c:f>
              <c:numCache>
                <c:ptCount val="5"/>
                <c:pt idx="0">
                  <c:v>122.45862864885945</c:v>
                </c:pt>
                <c:pt idx="1">
                  <c:v>121.14282196271866</c:v>
                </c:pt>
                <c:pt idx="2">
                  <c:v>120.61649928826232</c:v>
                </c:pt>
                <c:pt idx="3">
                  <c:v>120.40516640706362</c:v>
                </c:pt>
                <c:pt idx="4">
                  <c:v>120.32143325430918</c:v>
                </c:pt>
              </c:numCache>
            </c:numRef>
          </c:yVal>
          <c:smooth val="0"/>
        </c:ser>
        <c:axId val="35531803"/>
        <c:axId val="51350772"/>
      </c:scatterChart>
      <c:valAx>
        <c:axId val="35531803"/>
        <c:scaling>
          <c:orientation val="minMax"/>
        </c:scaling>
        <c:axPos val="b"/>
        <c:delete val="0"/>
        <c:numFmt formatCode="General" sourceLinked="1"/>
        <c:majorTickMark val="out"/>
        <c:minorTickMark val="none"/>
        <c:tickLblPos val="nextTo"/>
        <c:crossAx val="51350772"/>
        <c:crosses val="autoZero"/>
        <c:crossBetween val="midCat"/>
        <c:dispUnits/>
        <c:majorUnit val="1"/>
      </c:valAx>
      <c:valAx>
        <c:axId val="51350772"/>
        <c:scaling>
          <c:orientation val="minMax"/>
        </c:scaling>
        <c:axPos val="l"/>
        <c:delete val="0"/>
        <c:numFmt formatCode="0.0" sourceLinked="0"/>
        <c:majorTickMark val="out"/>
        <c:minorTickMark val="none"/>
        <c:tickLblPos val="nextTo"/>
        <c:crossAx val="35531803"/>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9"/>
          <c:w val="1"/>
          <c:h val="0.9605"/>
        </c:manualLayout>
      </c:layout>
      <c:barChart>
        <c:barDir val="bar"/>
        <c:grouping val="clustered"/>
        <c:varyColors val="0"/>
        <c:ser>
          <c:idx val="0"/>
          <c:order val="0"/>
          <c:spPr>
            <a:pattFill prst="pct5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'END USERS, COST &amp; EMISSIONS'!$H$16:$H$36</c:f>
              <c:numCache>
                <c:ptCount val="21"/>
                <c:pt idx="0">
                  <c:v>1137.5947995666309</c:v>
                </c:pt>
                <c:pt idx="1">
                  <c:v>1111.9347664936993</c:v>
                </c:pt>
                <c:pt idx="2">
                  <c:v>1067.7785122286066</c:v>
                </c:pt>
                <c:pt idx="3">
                  <c:v>1043.2968179447055</c:v>
                </c:pt>
                <c:pt idx="4">
                  <c:v>999.2386752950136</c:v>
                </c:pt>
                <c:pt idx="5">
                  <c:v>994.2004971002486</c:v>
                </c:pt>
                <c:pt idx="6">
                  <c:v>1037.805782060786</c:v>
                </c:pt>
                <c:pt idx="7">
                  <c:v>1095.4616588419408</c:v>
                </c:pt>
                <c:pt idx="8">
                  <c:v>985.9154929577468</c:v>
                </c:pt>
                <c:pt idx="9">
                  <c:v>985.9154929577468</c:v>
                </c:pt>
                <c:pt idx="10">
                  <c:v>985.9154929577468</c:v>
                </c:pt>
                <c:pt idx="11">
                  <c:v>1040.9772715716683</c:v>
                </c:pt>
                <c:pt idx="12">
                  <c:v>1008.2192455431895</c:v>
                </c:pt>
                <c:pt idx="13">
                  <c:v>961.169014084507</c:v>
                </c:pt>
                <c:pt idx="14">
                  <c:v>2897.593896713616</c:v>
                </c:pt>
                <c:pt idx="15">
                  <c:v>2882.58045683427</c:v>
                </c:pt>
                <c:pt idx="16">
                  <c:v>0</c:v>
                </c:pt>
                <c:pt idx="17">
                  <c:v>0</c:v>
                </c:pt>
                <c:pt idx="18">
                  <c:v>0</c:v>
                </c:pt>
                <c:pt idx="19">
                  <c:v>0</c:v>
                </c:pt>
                <c:pt idx="20">
                  <c:v>0</c:v>
                </c:pt>
              </c:numCache>
            </c:numRef>
          </c:val>
        </c:ser>
        <c:gapWidth val="100"/>
        <c:axId val="59503765"/>
        <c:axId val="65771838"/>
      </c:barChart>
      <c:catAx>
        <c:axId val="59503765"/>
        <c:scaling>
          <c:orientation val="maxMin"/>
        </c:scaling>
        <c:axPos val="l"/>
        <c:delete val="0"/>
        <c:numFmt formatCode="General" sourceLinked="1"/>
        <c:majorTickMark val="none"/>
        <c:minorTickMark val="none"/>
        <c:tickLblPos val="none"/>
        <c:crossAx val="65771838"/>
        <c:crosses val="autoZero"/>
        <c:auto val="1"/>
        <c:lblOffset val="100"/>
        <c:noMultiLvlLbl val="0"/>
      </c:catAx>
      <c:valAx>
        <c:axId val="65771838"/>
        <c:scaling>
          <c:orientation val="minMax"/>
        </c:scaling>
        <c:axPos val="t"/>
        <c:delete val="0"/>
        <c:numFmt formatCode="General" sourceLinked="1"/>
        <c:majorTickMark val="none"/>
        <c:minorTickMark val="none"/>
        <c:tickLblPos val="low"/>
        <c:crossAx val="5950376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Max &amp; Min Comparative heating costs</a:t>
            </a:r>
          </a:p>
        </c:rich>
      </c:tx>
      <c:layout>
        <c:manualLayout>
          <c:xMode val="factor"/>
          <c:yMode val="factor"/>
          <c:x val="0.0025"/>
          <c:y val="-0.02125"/>
        </c:manualLayout>
      </c:layout>
      <c:spPr>
        <a:noFill/>
        <a:ln>
          <a:noFill/>
        </a:ln>
      </c:spPr>
    </c:title>
    <c:plotArea>
      <c:layout>
        <c:manualLayout>
          <c:xMode val="edge"/>
          <c:yMode val="edge"/>
          <c:x val="0.02725"/>
          <c:y val="0.161"/>
          <c:w val="0.96625"/>
          <c:h val="0.814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'8 Graph (old)'!$F$5:$Z$5</c:f>
              <c:strCache>
                <c:ptCount val="21"/>
                <c:pt idx="0">
                  <c:v> - Atmospheric boiler non modulating</c:v>
                </c:pt>
                <c:pt idx="1">
                  <c:v> - Atmospheric boiler modulating</c:v>
                </c:pt>
                <c:pt idx="2">
                  <c:v> - Traditional flue balanced non modulating</c:v>
                </c:pt>
                <c:pt idx="3">
                  <c:v> - Traditional flue balanced modulating</c:v>
                </c:pt>
                <c:pt idx="4">
                  <c:v> - Condensing flue balanced non modulating</c:v>
                </c:pt>
                <c:pt idx="5">
                  <c:v> - Condensing flue balanced modulating</c:v>
                </c:pt>
                <c:pt idx="6">
                  <c:v>Other gas appliances</c:v>
                </c:pt>
                <c:pt idx="7">
                  <c:v> - Gas Radiator (flue less)</c:v>
                </c:pt>
                <c:pt idx="8">
                  <c:v> - Gas Radiator (flued)</c:v>
                </c:pt>
                <c:pt idx="9">
                  <c:v> - Gas heat pumps</c:v>
                </c:pt>
                <c:pt idx="10">
                  <c:v> - Micro CHP stearling</c:v>
                </c:pt>
                <c:pt idx="11">
                  <c:v> - Micro CHP fuel cells</c:v>
                </c:pt>
                <c:pt idx="12">
                  <c:v> - Traditional boiler</c:v>
                </c:pt>
                <c:pt idx="13">
                  <c:v> - Condensing boiler</c:v>
                </c:pt>
                <c:pt idx="14">
                  <c:v> - Fuel oil radiators</c:v>
                </c:pt>
                <c:pt idx="15">
                  <c:v> - El Boiler</c:v>
                </c:pt>
                <c:pt idx="16">
                  <c:v> - El radiators</c:v>
                </c:pt>
                <c:pt idx="17">
                  <c:v> - Wood Boiler with ventilator</c:v>
                </c:pt>
                <c:pt idx="18">
                  <c:v> - Wood Boiler without ventilator</c:v>
                </c:pt>
                <c:pt idx="19">
                  <c:v> - Wood - other</c:v>
                </c:pt>
                <c:pt idx="20">
                  <c:v> - Domestic heat exchanger</c:v>
                </c:pt>
              </c:strCache>
            </c:strRef>
          </c:cat>
          <c:val>
            <c:numRef>
              <c:f>'8 Graph (old)'!$F$6:$Z$6</c:f>
              <c:numCache>
                <c:ptCount val="21"/>
                <c:pt idx="0">
                  <c:v>84</c:v>
                </c:pt>
                <c:pt idx="1">
                  <c:v>86</c:v>
                </c:pt>
                <c:pt idx="2">
                  <c:v>90</c:v>
                </c:pt>
                <c:pt idx="3">
                  <c:v>90</c:v>
                </c:pt>
                <c:pt idx="4">
                  <c:v>96</c:v>
                </c:pt>
                <c:pt idx="5">
                  <c:v>97</c:v>
                </c:pt>
                <c:pt idx="6">
                  <c:v>97</c:v>
                </c:pt>
                <c:pt idx="7">
                  <c:v>95</c:v>
                </c:pt>
                <c:pt idx="8">
                  <c:v>90</c:v>
                </c:pt>
                <c:pt idx="9">
                  <c:v>100</c:v>
                </c:pt>
                <c:pt idx="10">
                  <c:v>30</c:v>
                </c:pt>
                <c:pt idx="11">
                  <c:v>30</c:v>
                </c:pt>
                <c:pt idx="12">
                  <c:v>90</c:v>
                </c:pt>
                <c:pt idx="13">
                  <c:v>95</c:v>
                </c:pt>
                <c:pt idx="14">
                  <c:v>0</c:v>
                </c:pt>
                <c:pt idx="15">
                  <c:v>97</c:v>
                </c:pt>
                <c:pt idx="16">
                  <c:v>98</c:v>
                </c:pt>
                <c:pt idx="17">
                  <c:v>80</c:v>
                </c:pt>
                <c:pt idx="18">
                  <c:v>85</c:v>
                </c:pt>
                <c:pt idx="19">
                  <c:v>0</c:v>
                </c:pt>
                <c:pt idx="20">
                  <c:v>0</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cat>
            <c:strRef>
              <c:f>'8 Graph (old)'!$F$5:$Z$5</c:f>
              <c:strCache>
                <c:ptCount val="21"/>
                <c:pt idx="0">
                  <c:v> - Atmospheric boiler non modulating</c:v>
                </c:pt>
                <c:pt idx="1">
                  <c:v> - Atmospheric boiler modulating</c:v>
                </c:pt>
                <c:pt idx="2">
                  <c:v> - Traditional flue balanced non modulating</c:v>
                </c:pt>
                <c:pt idx="3">
                  <c:v> - Traditional flue balanced modulating</c:v>
                </c:pt>
                <c:pt idx="4">
                  <c:v> - Condensing flue balanced non modulating</c:v>
                </c:pt>
                <c:pt idx="5">
                  <c:v> - Condensing flue balanced modulating</c:v>
                </c:pt>
                <c:pt idx="6">
                  <c:v>Other gas appliances</c:v>
                </c:pt>
                <c:pt idx="7">
                  <c:v> - Gas Radiator (flue less)</c:v>
                </c:pt>
                <c:pt idx="8">
                  <c:v> - Gas Radiator (flued)</c:v>
                </c:pt>
                <c:pt idx="9">
                  <c:v> - Gas heat pumps</c:v>
                </c:pt>
                <c:pt idx="10">
                  <c:v> - Micro CHP stearling</c:v>
                </c:pt>
                <c:pt idx="11">
                  <c:v> - Micro CHP fuel cells</c:v>
                </c:pt>
                <c:pt idx="12">
                  <c:v> - Traditional boiler</c:v>
                </c:pt>
                <c:pt idx="13">
                  <c:v> - Condensing boiler</c:v>
                </c:pt>
                <c:pt idx="14">
                  <c:v> - Fuel oil radiators</c:v>
                </c:pt>
                <c:pt idx="15">
                  <c:v> - El Boiler</c:v>
                </c:pt>
                <c:pt idx="16">
                  <c:v> - El radiators</c:v>
                </c:pt>
                <c:pt idx="17">
                  <c:v> - Wood Boiler with ventilator</c:v>
                </c:pt>
                <c:pt idx="18">
                  <c:v> - Wood Boiler without ventilator</c:v>
                </c:pt>
                <c:pt idx="19">
                  <c:v> - Wood - other</c:v>
                </c:pt>
                <c:pt idx="20">
                  <c:v> - Domestic heat exchanger</c:v>
                </c:pt>
              </c:strCache>
            </c:strRef>
          </c:cat>
          <c:val>
            <c:numRef>
              <c:f>'8 Graph (old)'!$F$7:$Z$7</c:f>
              <c:numCache>
                <c:ptCount val="21"/>
                <c:pt idx="0">
                  <c:v>82</c:v>
                </c:pt>
                <c:pt idx="1">
                  <c:v>84</c:v>
                </c:pt>
                <c:pt idx="2">
                  <c:v>88</c:v>
                </c:pt>
                <c:pt idx="3">
                  <c:v>89</c:v>
                </c:pt>
                <c:pt idx="4">
                  <c:v>92</c:v>
                </c:pt>
                <c:pt idx="5">
                  <c:v>92</c:v>
                </c:pt>
                <c:pt idx="6">
                  <c:v>92</c:v>
                </c:pt>
                <c:pt idx="7">
                  <c:v>95</c:v>
                </c:pt>
                <c:pt idx="8">
                  <c:v>90</c:v>
                </c:pt>
                <c:pt idx="9">
                  <c:v>100</c:v>
                </c:pt>
                <c:pt idx="10">
                  <c:v>30</c:v>
                </c:pt>
                <c:pt idx="11">
                  <c:v>30</c:v>
                </c:pt>
                <c:pt idx="12">
                  <c:v>88</c:v>
                </c:pt>
                <c:pt idx="13">
                  <c:v>92</c:v>
                </c:pt>
                <c:pt idx="14">
                  <c:v>0</c:v>
                </c:pt>
                <c:pt idx="15">
                  <c:v>95</c:v>
                </c:pt>
                <c:pt idx="16">
                  <c:v>95</c:v>
                </c:pt>
                <c:pt idx="17">
                  <c:v>70</c:v>
                </c:pt>
                <c:pt idx="18">
                  <c:v>80</c:v>
                </c:pt>
                <c:pt idx="19">
                  <c:v>0</c:v>
                </c:pt>
                <c:pt idx="20">
                  <c:v>0</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cat>
            <c:strRef>
              <c:f>'8 Graph (old)'!$F$5:$Z$5</c:f>
              <c:strCache>
                <c:ptCount val="21"/>
                <c:pt idx="0">
                  <c:v> - Atmospheric boiler non modulating</c:v>
                </c:pt>
                <c:pt idx="1">
                  <c:v> - Atmospheric boiler modulating</c:v>
                </c:pt>
                <c:pt idx="2">
                  <c:v> - Traditional flue balanced non modulating</c:v>
                </c:pt>
                <c:pt idx="3">
                  <c:v> - Traditional flue balanced modulating</c:v>
                </c:pt>
                <c:pt idx="4">
                  <c:v> - Condensing flue balanced non modulating</c:v>
                </c:pt>
                <c:pt idx="5">
                  <c:v> - Condensing flue balanced modulating</c:v>
                </c:pt>
                <c:pt idx="6">
                  <c:v>Other gas appliances</c:v>
                </c:pt>
                <c:pt idx="7">
                  <c:v> - Gas Radiator (flue less)</c:v>
                </c:pt>
                <c:pt idx="8">
                  <c:v> - Gas Radiator (flued)</c:v>
                </c:pt>
                <c:pt idx="9">
                  <c:v> - Gas heat pumps</c:v>
                </c:pt>
                <c:pt idx="10">
                  <c:v> - Micro CHP stearling</c:v>
                </c:pt>
                <c:pt idx="11">
                  <c:v> - Micro CHP fuel cells</c:v>
                </c:pt>
                <c:pt idx="12">
                  <c:v> - Traditional boiler</c:v>
                </c:pt>
                <c:pt idx="13">
                  <c:v> - Condensing boiler</c:v>
                </c:pt>
                <c:pt idx="14">
                  <c:v> - Fuel oil radiators</c:v>
                </c:pt>
                <c:pt idx="15">
                  <c:v> - El Boiler</c:v>
                </c:pt>
                <c:pt idx="16">
                  <c:v> - El radiators</c:v>
                </c:pt>
                <c:pt idx="17">
                  <c:v> - Wood Boiler with ventilator</c:v>
                </c:pt>
                <c:pt idx="18">
                  <c:v> - Wood Boiler without ventilator</c:v>
                </c:pt>
                <c:pt idx="19">
                  <c:v> - Wood - other</c:v>
                </c:pt>
                <c:pt idx="20">
                  <c:v> - Domestic heat exchanger</c:v>
                </c:pt>
              </c:strCache>
            </c:strRef>
          </c:cat>
          <c:val>
            <c:numRef>
              <c:f>'8 Graph (old)'!$F$8:$Z$8</c:f>
              <c:numCache>
                <c:ptCount val="21"/>
                <c:pt idx="0">
                  <c:v>2</c:v>
                </c:pt>
                <c:pt idx="1">
                  <c:v>2</c:v>
                </c:pt>
                <c:pt idx="2">
                  <c:v>2</c:v>
                </c:pt>
                <c:pt idx="3">
                  <c:v>1</c:v>
                </c:pt>
                <c:pt idx="4">
                  <c:v>4</c:v>
                </c:pt>
                <c:pt idx="5">
                  <c:v>5</c:v>
                </c:pt>
                <c:pt idx="6">
                  <c:v>5</c:v>
                </c:pt>
                <c:pt idx="7">
                  <c:v>0</c:v>
                </c:pt>
                <c:pt idx="8">
                  <c:v>0</c:v>
                </c:pt>
                <c:pt idx="9">
                  <c:v>0</c:v>
                </c:pt>
                <c:pt idx="10">
                  <c:v>0</c:v>
                </c:pt>
                <c:pt idx="11">
                  <c:v>0</c:v>
                </c:pt>
                <c:pt idx="12">
                  <c:v>2</c:v>
                </c:pt>
                <c:pt idx="13">
                  <c:v>3</c:v>
                </c:pt>
                <c:pt idx="14">
                  <c:v>0</c:v>
                </c:pt>
                <c:pt idx="15">
                  <c:v>2</c:v>
                </c:pt>
                <c:pt idx="16">
                  <c:v>3</c:v>
                </c:pt>
                <c:pt idx="17">
                  <c:v>10</c:v>
                </c:pt>
                <c:pt idx="18">
                  <c:v>5</c:v>
                </c:pt>
                <c:pt idx="19">
                  <c:v>0</c:v>
                </c:pt>
                <c:pt idx="20">
                  <c:v>0</c:v>
                </c:pt>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cat>
            <c:strRef>
              <c:f>'8 Graph (old)'!$F$5:$Z$5</c:f>
              <c:strCache>
                <c:ptCount val="21"/>
                <c:pt idx="0">
                  <c:v> - Atmospheric boiler non modulating</c:v>
                </c:pt>
                <c:pt idx="1">
                  <c:v> - Atmospheric boiler modulating</c:v>
                </c:pt>
                <c:pt idx="2">
                  <c:v> - Traditional flue balanced non modulating</c:v>
                </c:pt>
                <c:pt idx="3">
                  <c:v> - Traditional flue balanced modulating</c:v>
                </c:pt>
                <c:pt idx="4">
                  <c:v> - Condensing flue balanced non modulating</c:v>
                </c:pt>
                <c:pt idx="5">
                  <c:v> - Condensing flue balanced modulating</c:v>
                </c:pt>
                <c:pt idx="6">
                  <c:v>Other gas appliances</c:v>
                </c:pt>
                <c:pt idx="7">
                  <c:v> - Gas Radiator (flue less)</c:v>
                </c:pt>
                <c:pt idx="8">
                  <c:v> - Gas Radiator (flued)</c:v>
                </c:pt>
                <c:pt idx="9">
                  <c:v> - Gas heat pumps</c:v>
                </c:pt>
                <c:pt idx="10">
                  <c:v> - Micro CHP stearling</c:v>
                </c:pt>
                <c:pt idx="11">
                  <c:v> - Micro CHP fuel cells</c:v>
                </c:pt>
                <c:pt idx="12">
                  <c:v> - Traditional boiler</c:v>
                </c:pt>
                <c:pt idx="13">
                  <c:v> - Condensing boiler</c:v>
                </c:pt>
                <c:pt idx="14">
                  <c:v> - Fuel oil radiators</c:v>
                </c:pt>
                <c:pt idx="15">
                  <c:v> - El Boiler</c:v>
                </c:pt>
                <c:pt idx="16">
                  <c:v> - El radiators</c:v>
                </c:pt>
                <c:pt idx="17">
                  <c:v> - Wood Boiler with ventilator</c:v>
                </c:pt>
                <c:pt idx="18">
                  <c:v> - Wood Boiler without ventilator</c:v>
                </c:pt>
                <c:pt idx="19">
                  <c:v> - Wood - other</c:v>
                </c:pt>
                <c:pt idx="20">
                  <c:v> - Domestic heat exchanger</c:v>
                </c:pt>
              </c:strCache>
            </c:strRef>
          </c:cat>
          <c:val>
            <c:numRef>
              <c:f>'8 Graph (old)'!$F$9:$Z$9</c:f>
              <c:numCache>
                <c:ptCount val="21"/>
                <c:pt idx="0">
                  <c:v>2.4096385542168677</c:v>
                </c:pt>
                <c:pt idx="1">
                  <c:v>2.3529411764705883</c:v>
                </c:pt>
                <c:pt idx="2">
                  <c:v>2.247191011235955</c:v>
                </c:pt>
                <c:pt idx="3">
                  <c:v>1.1173184357541899</c:v>
                </c:pt>
                <c:pt idx="4">
                  <c:v>4.25531914893617</c:v>
                </c:pt>
                <c:pt idx="5">
                  <c:v>5.291005291005291</c:v>
                </c:pt>
                <c:pt idx="6">
                  <c:v>5.291005291005291</c:v>
                </c:pt>
                <c:pt idx="7">
                  <c:v>0</c:v>
                </c:pt>
                <c:pt idx="8">
                  <c:v>0</c:v>
                </c:pt>
                <c:pt idx="9">
                  <c:v>0</c:v>
                </c:pt>
                <c:pt idx="10">
                  <c:v>0</c:v>
                </c:pt>
                <c:pt idx="11">
                  <c:v>0</c:v>
                </c:pt>
                <c:pt idx="12">
                  <c:v>2.247191011235955</c:v>
                </c:pt>
                <c:pt idx="13">
                  <c:v>3.2085561497326203</c:v>
                </c:pt>
                <c:pt idx="14">
                  <c:v>0</c:v>
                </c:pt>
                <c:pt idx="15">
                  <c:v>2.0833333333333335</c:v>
                </c:pt>
                <c:pt idx="16">
                  <c:v>3.1088082901554404</c:v>
                </c:pt>
                <c:pt idx="17">
                  <c:v>13.333333333333334</c:v>
                </c:pt>
                <c:pt idx="18">
                  <c:v>6.0606060606060606</c:v>
                </c:pt>
                <c:pt idx="19">
                  <c:v>0</c:v>
                </c:pt>
                <c:pt idx="20">
                  <c:v>0</c:v>
                </c:pt>
              </c:numCache>
            </c:numRef>
          </c: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cat>
            <c:strRef>
              <c:f>'8 Graph (old)'!$F$5:$Z$5</c:f>
              <c:strCache>
                <c:ptCount val="21"/>
                <c:pt idx="0">
                  <c:v> - Atmospheric boiler non modulating</c:v>
                </c:pt>
                <c:pt idx="1">
                  <c:v> - Atmospheric boiler modulating</c:v>
                </c:pt>
                <c:pt idx="2">
                  <c:v> - Traditional flue balanced non modulating</c:v>
                </c:pt>
                <c:pt idx="3">
                  <c:v> - Traditional flue balanced modulating</c:v>
                </c:pt>
                <c:pt idx="4">
                  <c:v> - Condensing flue balanced non modulating</c:v>
                </c:pt>
                <c:pt idx="5">
                  <c:v> - Condensing flue balanced modulating</c:v>
                </c:pt>
                <c:pt idx="6">
                  <c:v>Other gas appliances</c:v>
                </c:pt>
                <c:pt idx="7">
                  <c:v> - Gas Radiator (flue less)</c:v>
                </c:pt>
                <c:pt idx="8">
                  <c:v> - Gas Radiator (flued)</c:v>
                </c:pt>
                <c:pt idx="9">
                  <c:v> - Gas heat pumps</c:v>
                </c:pt>
                <c:pt idx="10">
                  <c:v> - Micro CHP stearling</c:v>
                </c:pt>
                <c:pt idx="11">
                  <c:v> - Micro CHP fuel cells</c:v>
                </c:pt>
                <c:pt idx="12">
                  <c:v> - Traditional boiler</c:v>
                </c:pt>
                <c:pt idx="13">
                  <c:v> - Condensing boiler</c:v>
                </c:pt>
                <c:pt idx="14">
                  <c:v> - Fuel oil radiators</c:v>
                </c:pt>
                <c:pt idx="15">
                  <c:v> - El Boiler</c:v>
                </c:pt>
                <c:pt idx="16">
                  <c:v> - El radiators</c:v>
                </c:pt>
                <c:pt idx="17">
                  <c:v> - Wood Boiler with ventilator</c:v>
                </c:pt>
                <c:pt idx="18">
                  <c:v> - Wood Boiler without ventilator</c:v>
                </c:pt>
                <c:pt idx="19">
                  <c:v> - Wood - other</c:v>
                </c:pt>
                <c:pt idx="20">
                  <c:v> - Domestic heat exchanger</c:v>
                </c:pt>
              </c:strCache>
            </c:strRef>
          </c:cat>
          <c:val>
            <c:numRef>
              <c:f>'8 Graph (old)'!$F$10:$Z$10</c:f>
              <c:numCache>
                <c:ptCount val="21"/>
                <c:pt idx="0">
                  <c:v>23076.92307692308</c:v>
                </c:pt>
                <c:pt idx="1">
                  <c:v>22556.390977443607</c:v>
                </c:pt>
                <c:pt idx="2">
                  <c:v>21660.649819494585</c:v>
                </c:pt>
                <c:pt idx="3">
                  <c:v>21164.021164021164</c:v>
                </c:pt>
                <c:pt idx="4">
                  <c:v>20270.27027027027</c:v>
                </c:pt>
                <c:pt idx="5">
                  <c:v>20168.067226890755</c:v>
                </c:pt>
                <c:pt idx="6">
                  <c:v>0</c:v>
                </c:pt>
                <c:pt idx="7">
                  <c:v>21052.631578947367</c:v>
                </c:pt>
                <c:pt idx="8">
                  <c:v>22222.222222222223</c:v>
                </c:pt>
                <c:pt idx="9">
                  <c:v>0</c:v>
                </c:pt>
                <c:pt idx="10">
                  <c:v>0</c:v>
                </c:pt>
                <c:pt idx="11">
                  <c:v>0</c:v>
                </c:pt>
                <c:pt idx="12">
                  <c:v>21660.649819494585</c:v>
                </c:pt>
                <c:pt idx="13">
                  <c:v>20979.020979020977</c:v>
                </c:pt>
                <c:pt idx="14">
                  <c:v>0</c:v>
                </c:pt>
                <c:pt idx="15">
                  <c:v>20833.333333333336</c:v>
                </c:pt>
                <c:pt idx="16">
                  <c:v>20725.38860103627</c:v>
                </c:pt>
                <c:pt idx="17">
                  <c:v>25641.02564102564</c:v>
                </c:pt>
                <c:pt idx="18">
                  <c:v>23391.812865497075</c:v>
                </c:pt>
                <c:pt idx="19">
                  <c:v>0</c:v>
                </c:pt>
                <c:pt idx="20">
                  <c:v>0</c:v>
                </c:pt>
              </c:numCache>
            </c:numRef>
          </c:val>
          <c:smooth val="0"/>
        </c:ser>
        <c:ser>
          <c:idx val="5"/>
          <c:order val="5"/>
          <c:spPr>
            <a:ln w="3175">
              <a:noFill/>
            </a:ln>
          </c:spPr>
          <c:extLst>
            <c:ext xmlns:c14="http://schemas.microsoft.com/office/drawing/2007/8/2/chart" uri="{6F2FDCE9-48DA-4B69-8628-5D25D57E5C99}">
              <c14:invertSolidFillFmt>
                <c14:spPr>
                  <a:solidFill>
                    <a:srgbClr val="000000"/>
                  </a:solidFill>
                </c14:spPr>
              </c14:invertSolidFillFmt>
            </c:ext>
          </c:extLst>
          <c:cat>
            <c:strRef>
              <c:f>'8 Graph (old)'!$F$5:$Z$5</c:f>
              <c:strCache>
                <c:ptCount val="21"/>
                <c:pt idx="0">
                  <c:v> - Atmospheric boiler non modulating</c:v>
                </c:pt>
                <c:pt idx="1">
                  <c:v> - Atmospheric boiler modulating</c:v>
                </c:pt>
                <c:pt idx="2">
                  <c:v> - Traditional flue balanced non modulating</c:v>
                </c:pt>
                <c:pt idx="3">
                  <c:v> - Traditional flue balanced modulating</c:v>
                </c:pt>
                <c:pt idx="4">
                  <c:v> - Condensing flue balanced non modulating</c:v>
                </c:pt>
                <c:pt idx="5">
                  <c:v> - Condensing flue balanced modulating</c:v>
                </c:pt>
                <c:pt idx="6">
                  <c:v>Other gas appliances</c:v>
                </c:pt>
                <c:pt idx="7">
                  <c:v> - Gas Radiator (flue less)</c:v>
                </c:pt>
                <c:pt idx="8">
                  <c:v> - Gas Radiator (flued)</c:v>
                </c:pt>
                <c:pt idx="9">
                  <c:v> - Gas heat pumps</c:v>
                </c:pt>
                <c:pt idx="10">
                  <c:v> - Micro CHP stearling</c:v>
                </c:pt>
                <c:pt idx="11">
                  <c:v> - Micro CHP fuel cells</c:v>
                </c:pt>
                <c:pt idx="12">
                  <c:v> - Traditional boiler</c:v>
                </c:pt>
                <c:pt idx="13">
                  <c:v> - Condensing boiler</c:v>
                </c:pt>
                <c:pt idx="14">
                  <c:v> - Fuel oil radiators</c:v>
                </c:pt>
                <c:pt idx="15">
                  <c:v> - El Boiler</c:v>
                </c:pt>
                <c:pt idx="16">
                  <c:v> - El radiators</c:v>
                </c:pt>
                <c:pt idx="17">
                  <c:v> - Wood Boiler with ventilator</c:v>
                </c:pt>
                <c:pt idx="18">
                  <c:v> - Wood Boiler without ventilator</c:v>
                </c:pt>
                <c:pt idx="19">
                  <c:v> - Wood - other</c:v>
                </c:pt>
                <c:pt idx="20">
                  <c:v> - Domestic heat exchanger</c:v>
                </c:pt>
              </c:strCache>
            </c:strRef>
          </c:cat>
          <c:val>
            <c:numRef>
              <c:f>'8 Graph (old)'!$F$11:$Z$11</c:f>
              <c:numCache>
                <c:ptCount val="21"/>
                <c:pt idx="0">
                  <c:v>23354.958294717337</c:v>
                </c:pt>
                <c:pt idx="1">
                  <c:v>22821.76028306059</c:v>
                </c:pt>
                <c:pt idx="2">
                  <c:v>21904.027907354073</c:v>
                </c:pt>
                <c:pt idx="3">
                  <c:v>21282.255919127427</c:v>
                </c:pt>
                <c:pt idx="4">
                  <c:v>20701.55261644623</c:v>
                </c:pt>
                <c:pt idx="5">
                  <c:v>20701.613978924903</c:v>
                </c:pt>
                <c:pt idx="6">
                  <c:v>0</c:v>
                </c:pt>
                <c:pt idx="7">
                  <c:v>21052.631578947367</c:v>
                </c:pt>
                <c:pt idx="8">
                  <c:v>22222.222222222223</c:v>
                </c:pt>
                <c:pt idx="9">
                  <c:v>0</c:v>
                </c:pt>
                <c:pt idx="10">
                  <c:v>0</c:v>
                </c:pt>
                <c:pt idx="11">
                  <c:v>0</c:v>
                </c:pt>
                <c:pt idx="12">
                  <c:v>21904.027907354073</c:v>
                </c:pt>
                <c:pt idx="13">
                  <c:v>21315.582812909015</c:v>
                </c:pt>
                <c:pt idx="14">
                  <c:v>0</c:v>
                </c:pt>
                <c:pt idx="15">
                  <c:v>21050.347222222226</c:v>
                </c:pt>
                <c:pt idx="16">
                  <c:v>21047.54490053424</c:v>
                </c:pt>
                <c:pt idx="17">
                  <c:v>27350.42735042735</c:v>
                </c:pt>
                <c:pt idx="18">
                  <c:v>24100.655679603045</c:v>
                </c:pt>
                <c:pt idx="19">
                  <c:v>0</c:v>
                </c:pt>
                <c:pt idx="20">
                  <c:v>0</c:v>
                </c:pt>
              </c:numCache>
            </c:numRef>
          </c:val>
          <c:smooth val="0"/>
        </c:ser>
        <c:ser>
          <c:idx val="6"/>
          <c:order val="6"/>
          <c:spPr>
            <a:ln w="3175">
              <a:noFill/>
            </a:ln>
          </c:spPr>
          <c:extLst>
            <c:ext xmlns:c14="http://schemas.microsoft.com/office/drawing/2007/8/2/chart" uri="{6F2FDCE9-48DA-4B69-8628-5D25D57E5C99}">
              <c14:invertSolidFillFmt>
                <c14:spPr>
                  <a:solidFill>
                    <a:srgbClr val="000000"/>
                  </a:solidFill>
                </c14:spPr>
              </c14:invertSolidFillFmt>
            </c:ext>
          </c:extLst>
          <c:cat>
            <c:strRef>
              <c:f>'8 Graph (old)'!$F$5:$Z$5</c:f>
              <c:strCache>
                <c:ptCount val="21"/>
                <c:pt idx="0">
                  <c:v> - Atmospheric boiler non modulating</c:v>
                </c:pt>
                <c:pt idx="1">
                  <c:v> - Atmospheric boiler modulating</c:v>
                </c:pt>
                <c:pt idx="2">
                  <c:v> - Traditional flue balanced non modulating</c:v>
                </c:pt>
                <c:pt idx="3">
                  <c:v> - Traditional flue balanced modulating</c:v>
                </c:pt>
                <c:pt idx="4">
                  <c:v> - Condensing flue balanced non modulating</c:v>
                </c:pt>
                <c:pt idx="5">
                  <c:v> - Condensing flue balanced modulating</c:v>
                </c:pt>
                <c:pt idx="6">
                  <c:v>Other gas appliances</c:v>
                </c:pt>
                <c:pt idx="7">
                  <c:v> - Gas Radiator (flue less)</c:v>
                </c:pt>
                <c:pt idx="8">
                  <c:v> - Gas Radiator (flued)</c:v>
                </c:pt>
                <c:pt idx="9">
                  <c:v> - Gas heat pumps</c:v>
                </c:pt>
                <c:pt idx="10">
                  <c:v> - Micro CHP stearling</c:v>
                </c:pt>
                <c:pt idx="11">
                  <c:v> - Micro CHP fuel cells</c:v>
                </c:pt>
                <c:pt idx="12">
                  <c:v> - Traditional boiler</c:v>
                </c:pt>
                <c:pt idx="13">
                  <c:v> - Condensing boiler</c:v>
                </c:pt>
                <c:pt idx="14">
                  <c:v> - Fuel oil radiators</c:v>
                </c:pt>
                <c:pt idx="15">
                  <c:v> - El Boiler</c:v>
                </c:pt>
                <c:pt idx="16">
                  <c:v> - El radiators</c:v>
                </c:pt>
                <c:pt idx="17">
                  <c:v> - Wood Boiler with ventilator</c:v>
                </c:pt>
                <c:pt idx="18">
                  <c:v> - Wood Boiler without ventilator</c:v>
                </c:pt>
                <c:pt idx="19">
                  <c:v> - Wood - other</c:v>
                </c:pt>
                <c:pt idx="20">
                  <c:v> - Domestic heat exchanger</c:v>
                </c:pt>
              </c:strCache>
            </c:strRef>
          </c:cat>
          <c:val>
            <c:numRef>
              <c:f>'8 Graph (old)'!$F$12:$Z$12</c:f>
              <c:numCache>
                <c:ptCount val="21"/>
                <c:pt idx="0">
                  <c:v>23076.911028730312</c:v>
                </c:pt>
                <c:pt idx="1">
                  <c:v>22556.379212737724</c:v>
                </c:pt>
                <c:pt idx="2">
                  <c:v>21660.63858353953</c:v>
                </c:pt>
                <c:pt idx="3">
                  <c:v>21164.015577428985</c:v>
                </c:pt>
                <c:pt idx="4">
                  <c:v>20270.248993674526</c:v>
                </c:pt>
                <c:pt idx="5">
                  <c:v>20168.0407718643</c:v>
                </c:pt>
                <c:pt idx="6">
                  <c:v>-0.026455026455026457</c:v>
                </c:pt>
                <c:pt idx="7">
                  <c:v>21052.631578947367</c:v>
                </c:pt>
                <c:pt idx="8">
                  <c:v>22222.222222222223</c:v>
                </c:pt>
                <c:pt idx="9">
                  <c:v>0</c:v>
                </c:pt>
                <c:pt idx="10">
                  <c:v>0</c:v>
                </c:pt>
                <c:pt idx="11">
                  <c:v>0</c:v>
                </c:pt>
                <c:pt idx="12">
                  <c:v>21660.63858353953</c:v>
                </c:pt>
                <c:pt idx="13">
                  <c:v>20979.004936240228</c:v>
                </c:pt>
                <c:pt idx="14">
                  <c:v>0</c:v>
                </c:pt>
                <c:pt idx="15">
                  <c:v>20833.322916666668</c:v>
                </c:pt>
                <c:pt idx="16">
                  <c:v>20725.37305699482</c:v>
                </c:pt>
                <c:pt idx="17">
                  <c:v>25640.958974358975</c:v>
                </c:pt>
                <c:pt idx="18">
                  <c:v>23391.78256246677</c:v>
                </c:pt>
                <c:pt idx="19">
                  <c:v>0</c:v>
                </c:pt>
                <c:pt idx="20">
                  <c:v>0</c:v>
                </c:pt>
              </c:numCache>
            </c:numRef>
          </c:val>
          <c:smooth val="0"/>
        </c:ser>
        <c:ser>
          <c:idx val="7"/>
          <c:order val="7"/>
          <c:extLst>
            <c:ext xmlns:c14="http://schemas.microsoft.com/office/drawing/2007/8/2/chart" uri="{6F2FDCE9-48DA-4B69-8628-5D25D57E5C99}">
              <c14:invertSolidFillFmt>
                <c14:spPr>
                  <a:solidFill>
                    <a:srgbClr val="000000"/>
                  </a:solidFill>
                </c14:spPr>
              </c14:invertSolidFillFmt>
            </c:ext>
          </c:extLst>
          <c:cat>
            <c:strRef>
              <c:f>'8 Graph (old)'!$F$5:$Z$5</c:f>
              <c:strCache>
                <c:ptCount val="21"/>
                <c:pt idx="0">
                  <c:v> - Atmospheric boiler non modulating</c:v>
                </c:pt>
                <c:pt idx="1">
                  <c:v> - Atmospheric boiler modulating</c:v>
                </c:pt>
                <c:pt idx="2">
                  <c:v> - Traditional flue balanced non modulating</c:v>
                </c:pt>
                <c:pt idx="3">
                  <c:v> - Traditional flue balanced modulating</c:v>
                </c:pt>
                <c:pt idx="4">
                  <c:v> - Condensing flue balanced non modulating</c:v>
                </c:pt>
                <c:pt idx="5">
                  <c:v> - Condensing flue balanced modulating</c:v>
                </c:pt>
                <c:pt idx="6">
                  <c:v>Other gas appliances</c:v>
                </c:pt>
                <c:pt idx="7">
                  <c:v> - Gas Radiator (flue less)</c:v>
                </c:pt>
                <c:pt idx="8">
                  <c:v> - Gas Radiator (flued)</c:v>
                </c:pt>
                <c:pt idx="9">
                  <c:v> - Gas heat pumps</c:v>
                </c:pt>
                <c:pt idx="10">
                  <c:v> - Micro CHP stearling</c:v>
                </c:pt>
                <c:pt idx="11">
                  <c:v> - Micro CHP fuel cells</c:v>
                </c:pt>
                <c:pt idx="12">
                  <c:v> - Traditional boiler</c:v>
                </c:pt>
                <c:pt idx="13">
                  <c:v> - Condensing boiler</c:v>
                </c:pt>
                <c:pt idx="14">
                  <c:v> - Fuel oil radiators</c:v>
                </c:pt>
                <c:pt idx="15">
                  <c:v> - El Boiler</c:v>
                </c:pt>
                <c:pt idx="16">
                  <c:v> - El radiators</c:v>
                </c:pt>
                <c:pt idx="17">
                  <c:v> - Wood Boiler with ventilator</c:v>
                </c:pt>
                <c:pt idx="18">
                  <c:v> - Wood Boiler without ventilator</c:v>
                </c:pt>
                <c:pt idx="19">
                  <c:v> - Wood - other</c:v>
                </c:pt>
                <c:pt idx="20">
                  <c:v> - Domestic heat exchanger</c:v>
                </c:pt>
              </c:strCache>
            </c:strRef>
          </c:cat>
          <c:val>
            <c:numRef>
              <c:f>'8 Graph (old)'!$AB$17</c:f>
              <c:numCache>
                <c:ptCount val="1"/>
                <c:pt idx="0">
                  <c:v>0</c:v>
                </c:pt>
              </c:numCache>
            </c:numRef>
          </c:val>
          <c:smooth val="0"/>
        </c:ser>
        <c:marker val="1"/>
        <c:axId val="55075631"/>
        <c:axId val="25918632"/>
      </c:lineChart>
      <c:catAx>
        <c:axId val="55075631"/>
        <c:scaling>
          <c:orientation val="minMax"/>
        </c:scaling>
        <c:axPos val="b"/>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25918632"/>
        <c:crosses val="autoZero"/>
        <c:auto val="1"/>
        <c:lblOffset val="100"/>
        <c:noMultiLvlLbl val="0"/>
      </c:catAx>
      <c:valAx>
        <c:axId val="25918632"/>
        <c:scaling>
          <c:orientation val="minMax"/>
          <c:min val="1500"/>
        </c:scaling>
        <c:axPos val="l"/>
        <c:title>
          <c:tx>
            <c:rich>
              <a:bodyPr vert="horz" rot="-5400000" anchor="ctr"/>
              <a:lstStyle/>
              <a:p>
                <a:pPr algn="ctr">
                  <a:defRPr/>
                </a:pPr>
                <a:r>
                  <a:rPr lang="en-US" cap="none" sz="1425" b="1" i="0" u="none" baseline="0">
                    <a:latin typeface="Arial"/>
                    <a:ea typeface="Arial"/>
                    <a:cs typeface="Arial"/>
                  </a:rPr>
                  <a:t>Cost (euro/year)</a:t>
                </a:r>
              </a:p>
            </c:rich>
          </c:tx>
          <c:layout/>
          <c:overlay val="0"/>
          <c:spPr>
            <a:noFill/>
            <a:ln>
              <a:noFill/>
            </a:ln>
          </c:spPr>
        </c:title>
        <c:majorGridlines/>
        <c:delete val="0"/>
        <c:numFmt formatCode="General" sourceLinked="1"/>
        <c:majorTickMark val="out"/>
        <c:minorTickMark val="none"/>
        <c:tickLblPos val="nextTo"/>
        <c:crossAx val="55075631"/>
        <c:crossesAt val="1"/>
        <c:crossBetween val="between"/>
        <c:dispUnits/>
      </c:valAx>
      <c:spPr>
        <a:solidFill>
          <a:srgbClr val="FFFF99"/>
        </a:solidFill>
        <a:ln w="12700">
          <a:solidFill>
            <a:srgbClr val="808080"/>
          </a:solidFill>
        </a:ln>
      </c:spPr>
    </c:plotArea>
    <c:plotVisOnly val="1"/>
    <c:dispBlanksAs val="gap"/>
    <c:showDLblsOverMax val="0"/>
  </c:chart>
  <c:txPr>
    <a:bodyPr vert="horz" rot="0"/>
    <a:lstStyle/>
    <a:p>
      <a:pPr>
        <a:defRPr lang="en-US" cap="none" sz="142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igu.org/" TargetMode="External" /><Relationship Id="rId3" Type="http://schemas.openxmlformats.org/officeDocument/2006/relationships/hyperlink" Target="http://www.igu.org/" TargetMode="External" /><Relationship Id="rId4"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10</xdr:col>
      <xdr:colOff>466725</xdr:colOff>
      <xdr:row>2</xdr:row>
      <xdr:rowOff>9525</xdr:rowOff>
    </xdr:to>
    <xdr:pic>
      <xdr:nvPicPr>
        <xdr:cNvPr id="1" name="Picture 1" descr="Portal logo">
          <a:hlinkClick r:id="rId3"/>
        </xdr:cNvPr>
        <xdr:cNvPicPr preferRelativeResize="1">
          <a:picLocks noChangeAspect="1"/>
        </xdr:cNvPicPr>
      </xdr:nvPicPr>
      <xdr:blipFill>
        <a:blip r:embed="rId1"/>
        <a:stretch>
          <a:fillRect/>
        </a:stretch>
      </xdr:blipFill>
      <xdr:spPr>
        <a:xfrm>
          <a:off x="5972175" y="0"/>
          <a:ext cx="3667125" cy="542925"/>
        </a:xfrm>
        <a:prstGeom prst="rect">
          <a:avLst/>
        </a:prstGeom>
        <a:noFill/>
        <a:ln w="9525" cmpd="sng">
          <a:noFill/>
        </a:ln>
      </xdr:spPr>
    </xdr:pic>
    <xdr:clientData/>
  </xdr:twoCellAnchor>
  <xdr:twoCellAnchor editAs="oneCell">
    <xdr:from>
      <xdr:col>5</xdr:col>
      <xdr:colOff>66675</xdr:colOff>
      <xdr:row>2</xdr:row>
      <xdr:rowOff>47625</xdr:rowOff>
    </xdr:from>
    <xdr:to>
      <xdr:col>10</xdr:col>
      <xdr:colOff>104775</xdr:colOff>
      <xdr:row>5</xdr:row>
      <xdr:rowOff>76200</xdr:rowOff>
    </xdr:to>
    <xdr:pic>
      <xdr:nvPicPr>
        <xdr:cNvPr id="2" name="Picture 2"/>
        <xdr:cNvPicPr preferRelativeResize="1">
          <a:picLocks noChangeAspect="1"/>
        </xdr:cNvPicPr>
      </xdr:nvPicPr>
      <xdr:blipFill>
        <a:blip r:embed="rId4"/>
        <a:stretch>
          <a:fillRect/>
        </a:stretch>
      </xdr:blipFill>
      <xdr:spPr>
        <a:xfrm>
          <a:off x="6038850" y="581025"/>
          <a:ext cx="32385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152400</xdr:rowOff>
    </xdr:from>
    <xdr:to>
      <xdr:col>6</xdr:col>
      <xdr:colOff>485775</xdr:colOff>
      <xdr:row>26</xdr:row>
      <xdr:rowOff>9525</xdr:rowOff>
    </xdr:to>
    <xdr:graphicFrame>
      <xdr:nvGraphicFramePr>
        <xdr:cNvPr id="1" name="Chart 5"/>
        <xdr:cNvGraphicFramePr/>
      </xdr:nvGraphicFramePr>
      <xdr:xfrm>
        <a:off x="0" y="895350"/>
        <a:ext cx="5353050" cy="3619500"/>
      </xdr:xfrm>
      <a:graphic>
        <a:graphicData uri="http://schemas.openxmlformats.org/drawingml/2006/chart">
          <c:chart xmlns:c="http://schemas.openxmlformats.org/drawingml/2006/chart" r:id="rId1"/>
        </a:graphicData>
      </a:graphic>
    </xdr:graphicFrame>
    <xdr:clientData/>
  </xdr:twoCellAnchor>
  <xdr:twoCellAnchor>
    <xdr:from>
      <xdr:col>6</xdr:col>
      <xdr:colOff>561975</xdr:colOff>
      <xdr:row>2</xdr:row>
      <xdr:rowOff>171450</xdr:rowOff>
    </xdr:from>
    <xdr:to>
      <xdr:col>14</xdr:col>
      <xdr:colOff>104775</xdr:colOff>
      <xdr:row>27</xdr:row>
      <xdr:rowOff>57150</xdr:rowOff>
    </xdr:to>
    <xdr:graphicFrame>
      <xdr:nvGraphicFramePr>
        <xdr:cNvPr id="2" name="Chart 44"/>
        <xdr:cNvGraphicFramePr/>
      </xdr:nvGraphicFramePr>
      <xdr:xfrm>
        <a:off x="5429250" y="685800"/>
        <a:ext cx="4419600" cy="4038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13</xdr:row>
      <xdr:rowOff>19050</xdr:rowOff>
    </xdr:from>
    <xdr:to>
      <xdr:col>14</xdr:col>
      <xdr:colOff>561975</xdr:colOff>
      <xdr:row>36</xdr:row>
      <xdr:rowOff>85725</xdr:rowOff>
    </xdr:to>
    <xdr:graphicFrame>
      <xdr:nvGraphicFramePr>
        <xdr:cNvPr id="1" name="Chart 8"/>
        <xdr:cNvGraphicFramePr/>
      </xdr:nvGraphicFramePr>
      <xdr:xfrm>
        <a:off x="7048500" y="2809875"/>
        <a:ext cx="4667250" cy="4714875"/>
      </xdr:xfrm>
      <a:graphic>
        <a:graphicData uri="http://schemas.openxmlformats.org/drawingml/2006/chart">
          <c:chart xmlns:c="http://schemas.openxmlformats.org/drawingml/2006/chart" r:id="rId1"/>
        </a:graphicData>
      </a:graphic>
    </xdr:graphicFrame>
    <xdr:clientData/>
  </xdr:twoCellAnchor>
  <xdr:oneCellAnchor>
    <xdr:from>
      <xdr:col>3</xdr:col>
      <xdr:colOff>266700</xdr:colOff>
      <xdr:row>13</xdr:row>
      <xdr:rowOff>85725</xdr:rowOff>
    </xdr:from>
    <xdr:ext cx="628650" cy="161925"/>
    <xdr:sp>
      <xdr:nvSpPr>
        <xdr:cNvPr id="2" name="TextBox 11"/>
        <xdr:cNvSpPr txBox="1">
          <a:spLocks noChangeArrowheads="1"/>
        </xdr:cNvSpPr>
      </xdr:nvSpPr>
      <xdr:spPr>
        <a:xfrm>
          <a:off x="4714875" y="2876550"/>
          <a:ext cx="628650" cy="161925"/>
        </a:xfrm>
        <a:prstGeom prst="rect">
          <a:avLst/>
        </a:prstGeom>
        <a:noFill/>
        <a:ln w="9525" cmpd="sng">
          <a:solidFill>
            <a:srgbClr val="FF9F89"/>
          </a:solidFill>
          <a:headEnd type="none"/>
          <a:tailEnd type="none"/>
        </a:ln>
      </xdr:spPr>
      <xdr:txBody>
        <a:bodyPr vertOverflow="clip" wrap="square"/>
        <a:p>
          <a:pPr algn="ctr">
            <a:defRPr/>
          </a:pPr>
          <a:r>
            <a:rPr lang="en-US" cap="none" sz="800" b="0" i="0" u="none" baseline="0">
              <a:solidFill>
                <a:srgbClr val="FF0000"/>
              </a:solidFill>
              <a:latin typeface="Arial"/>
              <a:ea typeface="Arial"/>
              <a:cs typeface="Arial"/>
            </a:rPr>
            <a:t>graph</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14</xdr:row>
      <xdr:rowOff>9525</xdr:rowOff>
    </xdr:from>
    <xdr:to>
      <xdr:col>10</xdr:col>
      <xdr:colOff>133350</xdr:colOff>
      <xdr:row>25</xdr:row>
      <xdr:rowOff>28575</xdr:rowOff>
    </xdr:to>
    <xdr:pic>
      <xdr:nvPicPr>
        <xdr:cNvPr id="1" name="Picture 1"/>
        <xdr:cNvPicPr preferRelativeResize="1">
          <a:picLocks noChangeAspect="1"/>
        </xdr:cNvPicPr>
      </xdr:nvPicPr>
      <xdr:blipFill>
        <a:blip r:embed="rId1"/>
        <a:stretch>
          <a:fillRect/>
        </a:stretch>
      </xdr:blipFill>
      <xdr:spPr>
        <a:xfrm>
          <a:off x="4152900" y="2314575"/>
          <a:ext cx="3676650" cy="1800225"/>
        </a:xfrm>
        <a:prstGeom prst="rect">
          <a:avLst/>
        </a:prstGeom>
        <a:noFill/>
        <a:ln w="1"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0.05075</cdr:x>
      <cdr:y>0.414</cdr:y>
    </cdr:from>
    <cdr:to>
      <cdr:x>0.25225</cdr:x>
      <cdr:y>0.5715</cdr:y>
    </cdr:to>
    <cdr:sp>
      <cdr:nvSpPr>
        <cdr:cNvPr id="1" name="TextBox 1"/>
        <cdr:cNvSpPr txBox="1">
          <a:spLocks noChangeArrowheads="1"/>
        </cdr:cNvSpPr>
      </cdr:nvSpPr>
      <cdr:spPr>
        <a:xfrm>
          <a:off x="752475" y="1619250"/>
          <a:ext cx="2990850" cy="619125"/>
        </a:xfrm>
        <a:prstGeom prst="rect">
          <a:avLst/>
        </a:prstGeom>
        <a:noFill/>
        <a:ln w="9525" cmpd="sng">
          <a:noFill/>
        </a:ln>
      </cdr:spPr>
      <cdr:txBody>
        <a:bodyPr vertOverflow="clip" wrap="square"/>
        <a:p>
          <a:pPr algn="l">
            <a:defRPr/>
          </a:pPr>
          <a:r>
            <a:rPr lang="en-US" cap="none" sz="1325" b="0" i="0" u="none" baseline="0">
              <a:solidFill>
                <a:srgbClr val="FF6600"/>
              </a:solidFill>
              <a:latin typeface="Arial"/>
              <a:ea typeface="Arial"/>
              <a:cs typeface="Arial"/>
            </a:rPr>
            <a:t>Gas (NG, LPG)</a:t>
          </a:r>
          <a:r>
            <a:rPr lang="en-US" cap="none" sz="1325" b="0" i="0" u="none" baseline="0">
              <a:solidFill>
                <a:srgbClr val="FFCC00"/>
              </a:solidFill>
              <a:latin typeface="Arial"/>
              <a:ea typeface="Arial"/>
              <a:cs typeface="Arial"/>
            </a:rPr>
            <a:t> </a:t>
          </a:r>
        </a:p>
      </cdr:txBody>
    </cdr:sp>
  </cdr:relSizeAnchor>
  <cdr:relSizeAnchor xmlns:cdr="http://schemas.openxmlformats.org/drawingml/2006/chartDrawing">
    <cdr:from>
      <cdr:x>0.57425</cdr:x>
      <cdr:y>0.414</cdr:y>
    </cdr:from>
    <cdr:to>
      <cdr:x>0.6875</cdr:x>
      <cdr:y>0.584</cdr:y>
    </cdr:to>
    <cdr:sp>
      <cdr:nvSpPr>
        <cdr:cNvPr id="2" name="TextBox 2"/>
        <cdr:cNvSpPr txBox="1">
          <a:spLocks noChangeArrowheads="1"/>
        </cdr:cNvSpPr>
      </cdr:nvSpPr>
      <cdr:spPr>
        <a:xfrm>
          <a:off x="8515350" y="1619250"/>
          <a:ext cx="1676400" cy="666750"/>
        </a:xfrm>
        <a:prstGeom prst="rect">
          <a:avLst/>
        </a:prstGeom>
        <a:noFill/>
        <a:ln w="9525" cmpd="sng">
          <a:noFill/>
        </a:ln>
      </cdr:spPr>
      <cdr:txBody>
        <a:bodyPr vertOverflow="clip" wrap="square"/>
        <a:p>
          <a:pPr algn="l">
            <a:defRPr/>
          </a:pPr>
          <a:r>
            <a:rPr lang="en-US" cap="none" sz="1425" b="0" i="0" u="none" baseline="0">
              <a:latin typeface="Arial"/>
              <a:ea typeface="Arial"/>
              <a:cs typeface="Arial"/>
            </a:rPr>
            <a:t>Fuel Oil
 </a:t>
          </a:r>
        </a:p>
      </cdr:txBody>
    </cdr:sp>
  </cdr:relSizeAnchor>
  <cdr:relSizeAnchor xmlns:cdr="http://schemas.openxmlformats.org/drawingml/2006/chartDrawing">
    <cdr:from>
      <cdr:x>0.70025</cdr:x>
      <cdr:y>0.414</cdr:y>
    </cdr:from>
    <cdr:to>
      <cdr:x>0.81325</cdr:x>
      <cdr:y>0.5835</cdr:y>
    </cdr:to>
    <cdr:sp>
      <cdr:nvSpPr>
        <cdr:cNvPr id="3" name="TextBox 3"/>
        <cdr:cNvSpPr txBox="1">
          <a:spLocks noChangeArrowheads="1"/>
        </cdr:cNvSpPr>
      </cdr:nvSpPr>
      <cdr:spPr>
        <a:xfrm>
          <a:off x="10382250" y="1619250"/>
          <a:ext cx="1676400" cy="666750"/>
        </a:xfrm>
        <a:prstGeom prst="rect">
          <a:avLst/>
        </a:prstGeom>
        <a:noFill/>
        <a:ln w="9525" cmpd="sng">
          <a:noFill/>
        </a:ln>
      </cdr:spPr>
      <cdr:txBody>
        <a:bodyPr vertOverflow="clip" wrap="square"/>
        <a:p>
          <a:pPr algn="l">
            <a:defRPr/>
          </a:pPr>
          <a:r>
            <a:rPr lang="en-US" cap="none" sz="1425" b="0" i="0" u="none" baseline="0">
              <a:solidFill>
                <a:srgbClr val="0000FF"/>
              </a:solidFill>
              <a:latin typeface="Arial"/>
              <a:ea typeface="Arial"/>
              <a:cs typeface="Arial"/>
            </a:rPr>
            <a:t>El.
 </a:t>
          </a:r>
        </a:p>
      </cdr:txBody>
    </cdr:sp>
  </cdr:relSizeAnchor>
  <cdr:relSizeAnchor xmlns:cdr="http://schemas.openxmlformats.org/drawingml/2006/chartDrawing">
    <cdr:from>
      <cdr:x>0.795</cdr:x>
      <cdr:y>0.414</cdr:y>
    </cdr:from>
    <cdr:to>
      <cdr:x>0.907</cdr:x>
      <cdr:y>0.5835</cdr:y>
    </cdr:to>
    <cdr:sp>
      <cdr:nvSpPr>
        <cdr:cNvPr id="4" name="TextBox 4"/>
        <cdr:cNvSpPr txBox="1">
          <a:spLocks noChangeArrowheads="1"/>
        </cdr:cNvSpPr>
      </cdr:nvSpPr>
      <cdr:spPr>
        <a:xfrm>
          <a:off x="11791950" y="1619250"/>
          <a:ext cx="1657350" cy="666750"/>
        </a:xfrm>
        <a:prstGeom prst="rect">
          <a:avLst/>
        </a:prstGeom>
        <a:noFill/>
        <a:ln w="9525" cmpd="sng">
          <a:noFill/>
        </a:ln>
      </cdr:spPr>
      <cdr:txBody>
        <a:bodyPr vertOverflow="clip" wrap="square"/>
        <a:p>
          <a:pPr algn="l">
            <a:defRPr/>
          </a:pPr>
          <a:r>
            <a:rPr lang="en-US" cap="none" sz="1425" b="0" i="0" u="none" baseline="0">
              <a:latin typeface="Arial"/>
              <a:ea typeface="Arial"/>
              <a:cs typeface="Arial"/>
            </a:rPr>
            <a:t>Wood 
 </a:t>
          </a:r>
        </a:p>
      </cdr:txBody>
    </cdr:sp>
  </cdr:relSizeAnchor>
  <cdr:relSizeAnchor xmlns:cdr="http://schemas.openxmlformats.org/drawingml/2006/chartDrawing">
    <cdr:from>
      <cdr:x>0.87025</cdr:x>
      <cdr:y>0.50075</cdr:y>
    </cdr:from>
    <cdr:to>
      <cdr:x>0.9995</cdr:x>
      <cdr:y>0.6705</cdr:y>
    </cdr:to>
    <cdr:sp>
      <cdr:nvSpPr>
        <cdr:cNvPr id="5" name="TextBox 5"/>
        <cdr:cNvSpPr txBox="1">
          <a:spLocks noChangeArrowheads="1"/>
        </cdr:cNvSpPr>
      </cdr:nvSpPr>
      <cdr:spPr>
        <a:xfrm>
          <a:off x="12906375" y="1962150"/>
          <a:ext cx="1914525" cy="666750"/>
        </a:xfrm>
        <a:prstGeom prst="rect">
          <a:avLst/>
        </a:prstGeom>
        <a:noFill/>
        <a:ln w="9525" cmpd="sng">
          <a:noFill/>
        </a:ln>
      </cdr:spPr>
      <cdr:txBody>
        <a:bodyPr vertOverflow="clip" wrap="square"/>
        <a:p>
          <a:pPr algn="l">
            <a:defRPr/>
          </a:pPr>
          <a:r>
            <a:rPr lang="en-US" cap="none" sz="1425" b="0" i="0" u="none" baseline="0">
              <a:solidFill>
                <a:srgbClr val="00FF00"/>
              </a:solidFill>
              <a:latin typeface="Arial"/>
              <a:ea typeface="Arial"/>
              <a:cs typeface="Arial"/>
            </a:rPr>
            <a:t>District
heating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14</xdr:row>
      <xdr:rowOff>123825</xdr:rowOff>
    </xdr:from>
    <xdr:to>
      <xdr:col>25</xdr:col>
      <xdr:colOff>419100</xdr:colOff>
      <xdr:row>39</xdr:row>
      <xdr:rowOff>9525</xdr:rowOff>
    </xdr:to>
    <xdr:graphicFrame>
      <xdr:nvGraphicFramePr>
        <xdr:cNvPr id="1" name="Chart 1"/>
        <xdr:cNvGraphicFramePr/>
      </xdr:nvGraphicFramePr>
      <xdr:xfrm>
        <a:off x="2619375" y="4638675"/>
        <a:ext cx="14839950" cy="3933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205%20Energy%20cost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 5 Energy cos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sc@dgc.d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90"/>
  <sheetViews>
    <sheetView workbookViewId="0" topLeftCell="A1">
      <selection activeCell="C2" sqref="C2"/>
    </sheetView>
  </sheetViews>
  <sheetFormatPr defaultColWidth="11.421875" defaultRowHeight="12.75"/>
  <cols>
    <col min="1" max="1" width="50.7109375" style="0" customWidth="1"/>
    <col min="2" max="9" width="9.7109375" style="0" customWidth="1"/>
    <col min="10" max="16384" width="9.140625" style="0" customWidth="1"/>
  </cols>
  <sheetData>
    <row r="1" spans="1:18" ht="26.25">
      <c r="A1" s="197" t="s">
        <v>478</v>
      </c>
      <c r="B1" s="183"/>
      <c r="C1" s="183"/>
      <c r="D1" s="183"/>
      <c r="E1" s="183"/>
      <c r="G1" s="183"/>
      <c r="H1" s="183" t="s">
        <v>445</v>
      </c>
      <c r="I1" s="183"/>
      <c r="J1" s="183"/>
      <c r="K1" s="183"/>
      <c r="L1" s="183"/>
      <c r="M1" s="183"/>
      <c r="N1" s="183"/>
      <c r="O1" s="183"/>
      <c r="P1" s="183"/>
      <c r="Q1" s="183"/>
      <c r="R1" s="183"/>
    </row>
    <row r="2" spans="1:18" ht="15.75">
      <c r="A2" s="199" t="s">
        <v>480</v>
      </c>
      <c r="B2" s="206" t="s">
        <v>495</v>
      </c>
      <c r="C2" s="206"/>
      <c r="D2" s="183"/>
      <c r="E2" s="183"/>
      <c r="F2" s="183"/>
      <c r="G2" s="183"/>
      <c r="H2" s="183"/>
      <c r="I2" s="183"/>
      <c r="J2" s="183"/>
      <c r="K2" s="183"/>
      <c r="L2" s="183"/>
      <c r="M2" s="183"/>
      <c r="N2" s="183"/>
      <c r="O2" s="183"/>
      <c r="P2" s="183"/>
      <c r="Q2" s="183"/>
      <c r="R2" s="183"/>
    </row>
    <row r="3" spans="1:18" ht="15.75">
      <c r="A3" s="199"/>
      <c r="B3" s="183"/>
      <c r="C3" s="183"/>
      <c r="D3" s="183"/>
      <c r="E3" s="183"/>
      <c r="F3" s="183"/>
      <c r="G3" s="183"/>
      <c r="H3" s="183"/>
      <c r="I3" s="183"/>
      <c r="J3" s="183"/>
      <c r="K3" s="183"/>
      <c r="L3" s="183"/>
      <c r="M3" s="183"/>
      <c r="N3" s="183"/>
      <c r="O3" s="183"/>
      <c r="P3" s="183"/>
      <c r="Q3" s="183"/>
      <c r="R3" s="183"/>
    </row>
    <row r="4" spans="1:18" ht="15.75">
      <c r="A4" s="207" t="s">
        <v>497</v>
      </c>
      <c r="B4" s="198"/>
      <c r="C4" s="183"/>
      <c r="D4" s="183"/>
      <c r="E4" s="183"/>
      <c r="F4" s="183"/>
      <c r="G4" s="183"/>
      <c r="H4" s="183"/>
      <c r="I4" s="183"/>
      <c r="J4" s="183"/>
      <c r="K4" s="183"/>
      <c r="L4" s="183"/>
      <c r="M4" s="183"/>
      <c r="N4" s="183"/>
      <c r="O4" s="183"/>
      <c r="P4" s="183"/>
      <c r="Q4" s="183"/>
      <c r="R4" s="183"/>
    </row>
    <row r="5" spans="1:18" ht="14.25">
      <c r="A5" s="184" t="s">
        <v>479</v>
      </c>
      <c r="B5" s="183"/>
      <c r="C5" s="183"/>
      <c r="D5" s="183"/>
      <c r="E5" s="183"/>
      <c r="F5" s="183"/>
      <c r="G5" s="183"/>
      <c r="H5" s="183"/>
      <c r="I5" s="183"/>
      <c r="J5" s="183"/>
      <c r="K5" s="183"/>
      <c r="L5" s="183"/>
      <c r="M5" s="183"/>
      <c r="N5" s="183"/>
      <c r="O5" s="183"/>
      <c r="P5" s="183"/>
      <c r="Q5" s="183"/>
      <c r="R5" s="183"/>
    </row>
    <row r="6" spans="1:18" ht="14.25">
      <c r="A6" s="184" t="s">
        <v>446</v>
      </c>
      <c r="B6" s="183"/>
      <c r="C6" s="183"/>
      <c r="D6" s="183"/>
      <c r="E6" s="183"/>
      <c r="F6" s="183"/>
      <c r="G6" s="183"/>
      <c r="H6" s="183"/>
      <c r="I6" s="183"/>
      <c r="J6" s="183"/>
      <c r="K6" s="183"/>
      <c r="L6" s="183"/>
      <c r="M6" s="183"/>
      <c r="N6" s="183"/>
      <c r="O6" s="183"/>
      <c r="P6" s="183"/>
      <c r="Q6" s="183"/>
      <c r="R6" s="183"/>
    </row>
    <row r="7" spans="1:18" ht="14.25">
      <c r="A7" s="184" t="s">
        <v>496</v>
      </c>
      <c r="B7" s="183"/>
      <c r="C7" s="183"/>
      <c r="D7" s="183"/>
      <c r="E7" s="183"/>
      <c r="F7" s="183"/>
      <c r="G7" s="183"/>
      <c r="H7" s="183"/>
      <c r="I7" s="183"/>
      <c r="J7" s="183"/>
      <c r="K7" s="183"/>
      <c r="L7" s="183"/>
      <c r="M7" s="183"/>
      <c r="N7" s="183"/>
      <c r="O7" s="183"/>
      <c r="P7" s="183"/>
      <c r="Q7" s="183"/>
      <c r="R7" s="183"/>
    </row>
    <row r="8" spans="1:18" ht="15">
      <c r="A8" s="208" t="s">
        <v>498</v>
      </c>
      <c r="B8" s="183"/>
      <c r="C8" s="183"/>
      <c r="D8" s="183"/>
      <c r="E8" s="183"/>
      <c r="F8" s="183"/>
      <c r="G8" s="183"/>
      <c r="H8" s="183"/>
      <c r="I8" s="183"/>
      <c r="J8" s="183"/>
      <c r="K8" s="183"/>
      <c r="L8" s="183"/>
      <c r="M8" s="183"/>
      <c r="N8" s="183"/>
      <c r="O8" s="183"/>
      <c r="P8" s="183"/>
      <c r="Q8" s="183"/>
      <c r="R8" s="183"/>
    </row>
    <row r="9" spans="1:18" ht="15">
      <c r="A9" s="209" t="s">
        <v>499</v>
      </c>
      <c r="B9" s="183"/>
      <c r="C9" s="183"/>
      <c r="D9" s="183"/>
      <c r="E9" s="183"/>
      <c r="F9" s="183"/>
      <c r="G9" s="183"/>
      <c r="H9" s="183"/>
      <c r="I9" s="183"/>
      <c r="J9" s="183"/>
      <c r="K9" s="183"/>
      <c r="L9" s="183"/>
      <c r="M9" s="183"/>
      <c r="N9" s="183"/>
      <c r="O9" s="183"/>
      <c r="P9" s="183"/>
      <c r="Q9" s="183"/>
      <c r="R9" s="183"/>
    </row>
    <row r="10" spans="1:18" ht="14.25">
      <c r="A10" s="185" t="s">
        <v>500</v>
      </c>
      <c r="B10" s="183"/>
      <c r="C10" s="183"/>
      <c r="D10" s="183"/>
      <c r="E10" s="183"/>
      <c r="F10" s="183"/>
      <c r="G10" s="183"/>
      <c r="H10" s="183"/>
      <c r="I10" s="183"/>
      <c r="J10" s="183"/>
      <c r="K10" s="183"/>
      <c r="L10" s="183"/>
      <c r="M10" s="183"/>
      <c r="N10" s="183"/>
      <c r="O10" s="183"/>
      <c r="P10" s="183"/>
      <c r="Q10" s="183"/>
      <c r="R10" s="183"/>
    </row>
    <row r="11" spans="1:18" ht="14.25">
      <c r="A11" s="184" t="s">
        <v>501</v>
      </c>
      <c r="B11" s="183"/>
      <c r="C11" s="183"/>
      <c r="D11" s="183"/>
      <c r="E11" s="183"/>
      <c r="F11" s="183"/>
      <c r="G11" s="183"/>
      <c r="H11" s="183"/>
      <c r="I11" s="183"/>
      <c r="J11" s="183"/>
      <c r="K11" s="183"/>
      <c r="L11" s="183"/>
      <c r="M11" s="183"/>
      <c r="N11" s="183"/>
      <c r="O11" s="183"/>
      <c r="P11" s="183"/>
      <c r="Q11" s="183"/>
      <c r="R11" s="183"/>
    </row>
    <row r="12" spans="1:18" ht="14.25">
      <c r="A12" s="184"/>
      <c r="B12" s="183"/>
      <c r="C12" s="183"/>
      <c r="D12" s="183"/>
      <c r="E12" s="183"/>
      <c r="F12" s="183"/>
      <c r="G12" s="183"/>
      <c r="H12" s="183"/>
      <c r="I12" s="183"/>
      <c r="J12" s="183"/>
      <c r="K12" s="183"/>
      <c r="L12" s="183"/>
      <c r="M12" s="183"/>
      <c r="N12" s="183"/>
      <c r="O12" s="183"/>
      <c r="P12" s="183"/>
      <c r="Q12" s="183"/>
      <c r="R12" s="183"/>
    </row>
    <row r="13" spans="1:18" ht="15.75">
      <c r="A13" s="199" t="s">
        <v>502</v>
      </c>
      <c r="B13" s="183"/>
      <c r="C13" s="183"/>
      <c r="D13" s="183"/>
      <c r="E13" s="183"/>
      <c r="F13" s="183"/>
      <c r="G13" s="183"/>
      <c r="H13" s="183"/>
      <c r="I13" s="183"/>
      <c r="J13" s="183"/>
      <c r="K13" s="183"/>
      <c r="L13" s="183"/>
      <c r="M13" s="183"/>
      <c r="N13" s="183"/>
      <c r="O13" s="183"/>
      <c r="P13" s="183"/>
      <c r="Q13" s="183"/>
      <c r="R13" s="183"/>
    </row>
    <row r="14" spans="1:18" ht="12.75">
      <c r="A14" s="200"/>
      <c r="B14" s="183"/>
      <c r="C14" s="183"/>
      <c r="D14" s="183"/>
      <c r="E14" s="183"/>
      <c r="F14" s="183"/>
      <c r="G14" s="183"/>
      <c r="H14" s="183"/>
      <c r="I14" s="183"/>
      <c r="J14" s="183"/>
      <c r="K14" s="183"/>
      <c r="L14" s="183"/>
      <c r="M14" s="183"/>
      <c r="N14" s="183"/>
      <c r="O14" s="183"/>
      <c r="P14" s="183"/>
      <c r="Q14" s="183"/>
      <c r="R14" s="183"/>
    </row>
    <row r="15" spans="1:18" ht="15.75">
      <c r="A15" s="207" t="s">
        <v>503</v>
      </c>
      <c r="B15" s="183"/>
      <c r="C15" s="183"/>
      <c r="D15" s="183"/>
      <c r="E15" s="183"/>
      <c r="F15" s="183"/>
      <c r="G15" s="183"/>
      <c r="H15" s="183"/>
      <c r="I15" s="183"/>
      <c r="J15" s="183"/>
      <c r="K15" s="183"/>
      <c r="L15" s="183"/>
      <c r="M15" s="183"/>
      <c r="N15" s="183"/>
      <c r="O15" s="183"/>
      <c r="P15" s="183"/>
      <c r="Q15" s="183"/>
      <c r="R15" s="183"/>
    </row>
    <row r="16" spans="1:18" ht="14.25">
      <c r="A16" s="186" t="s">
        <v>504</v>
      </c>
      <c r="B16" s="183"/>
      <c r="C16" s="183"/>
      <c r="D16" s="183"/>
      <c r="E16" s="183"/>
      <c r="F16" s="183"/>
      <c r="G16" s="183"/>
      <c r="H16" s="183"/>
      <c r="I16" s="183"/>
      <c r="J16" s="183"/>
      <c r="K16" s="183"/>
      <c r="L16" s="183"/>
      <c r="M16" s="183"/>
      <c r="N16" s="183"/>
      <c r="O16" s="183"/>
      <c r="P16" s="183"/>
      <c r="Q16" s="183"/>
      <c r="R16" s="183"/>
    </row>
    <row r="17" spans="1:18" ht="14.25">
      <c r="A17" s="187" t="s">
        <v>508</v>
      </c>
      <c r="B17" s="183"/>
      <c r="C17" s="183"/>
      <c r="D17" s="183"/>
      <c r="E17" s="183"/>
      <c r="F17" s="183"/>
      <c r="G17" s="183"/>
      <c r="H17" s="183"/>
      <c r="I17" s="183"/>
      <c r="J17" s="183"/>
      <c r="K17" s="183"/>
      <c r="L17" s="183"/>
      <c r="M17" s="183"/>
      <c r="N17" s="183"/>
      <c r="O17" s="183"/>
      <c r="P17" s="183"/>
      <c r="Q17" s="183"/>
      <c r="R17" s="183"/>
    </row>
    <row r="18" spans="1:18" ht="14.25">
      <c r="A18" s="187" t="s">
        <v>509</v>
      </c>
      <c r="B18" s="183"/>
      <c r="C18" s="183"/>
      <c r="D18" s="183"/>
      <c r="E18" s="183"/>
      <c r="F18" s="183"/>
      <c r="G18" s="183"/>
      <c r="H18" s="183"/>
      <c r="I18" s="183"/>
      <c r="J18" s="183"/>
      <c r="K18" s="183"/>
      <c r="L18" s="183"/>
      <c r="M18" s="183"/>
      <c r="N18" s="183"/>
      <c r="O18" s="183"/>
      <c r="P18" s="183"/>
      <c r="Q18" s="183"/>
      <c r="R18" s="183"/>
    </row>
    <row r="19" spans="1:18" ht="14.25">
      <c r="A19" s="187" t="s">
        <v>505</v>
      </c>
      <c r="B19" s="183"/>
      <c r="C19" s="183"/>
      <c r="D19" s="183"/>
      <c r="E19" s="183"/>
      <c r="F19" s="183"/>
      <c r="G19" s="183"/>
      <c r="H19" s="183"/>
      <c r="I19" s="183"/>
      <c r="J19" s="183"/>
      <c r="K19" s="183"/>
      <c r="L19" s="183"/>
      <c r="M19" s="183"/>
      <c r="N19" s="183"/>
      <c r="O19" s="183"/>
      <c r="P19" s="183"/>
      <c r="Q19" s="183"/>
      <c r="R19" s="183"/>
    </row>
    <row r="20" spans="1:18" ht="14.25">
      <c r="A20" s="187" t="s">
        <v>506</v>
      </c>
      <c r="B20" s="183"/>
      <c r="C20" s="183"/>
      <c r="D20" s="183"/>
      <c r="E20" s="183"/>
      <c r="F20" s="183"/>
      <c r="G20" s="183"/>
      <c r="H20" s="183"/>
      <c r="I20" s="183"/>
      <c r="J20" s="183"/>
      <c r="K20" s="183"/>
      <c r="L20" s="183"/>
      <c r="M20" s="183"/>
      <c r="N20" s="183"/>
      <c r="O20" s="183"/>
      <c r="P20" s="183"/>
      <c r="Q20" s="183"/>
      <c r="R20" s="183"/>
    </row>
    <row r="21" spans="1:18" ht="14.25">
      <c r="A21" s="186" t="s">
        <v>447</v>
      </c>
      <c r="B21" s="183"/>
      <c r="C21" s="183"/>
      <c r="D21" s="183"/>
      <c r="E21" s="183"/>
      <c r="F21" s="183"/>
      <c r="G21" s="183"/>
      <c r="H21" s="183"/>
      <c r="I21" s="183"/>
      <c r="J21" s="183"/>
      <c r="K21" s="183"/>
      <c r="L21" s="183"/>
      <c r="M21" s="183"/>
      <c r="N21" s="183"/>
      <c r="O21" s="183"/>
      <c r="P21" s="183"/>
      <c r="Q21" s="183"/>
      <c r="R21" s="183"/>
    </row>
    <row r="22" spans="1:18" ht="14.25">
      <c r="A22" s="186" t="s">
        <v>483</v>
      </c>
      <c r="B22" s="183"/>
      <c r="C22" s="183"/>
      <c r="D22" s="183"/>
      <c r="E22" s="183"/>
      <c r="F22" s="183"/>
      <c r="G22" s="183"/>
      <c r="H22" s="183"/>
      <c r="I22" s="183"/>
      <c r="J22" s="183"/>
      <c r="K22" s="183"/>
      <c r="L22" s="183"/>
      <c r="M22" s="183"/>
      <c r="N22" s="183"/>
      <c r="O22" s="183"/>
      <c r="P22" s="183"/>
      <c r="Q22" s="183"/>
      <c r="R22" s="183"/>
    </row>
    <row r="23" spans="1:18" ht="14.25">
      <c r="A23" s="186" t="s">
        <v>510</v>
      </c>
      <c r="B23" s="183"/>
      <c r="C23" s="183"/>
      <c r="D23" s="183"/>
      <c r="E23" s="183"/>
      <c r="F23" s="183"/>
      <c r="G23" s="183"/>
      <c r="H23" s="183"/>
      <c r="I23" s="183"/>
      <c r="J23" s="183"/>
      <c r="K23" s="183"/>
      <c r="L23" s="183"/>
      <c r="M23" s="183"/>
      <c r="N23" s="183"/>
      <c r="O23" s="183"/>
      <c r="P23" s="183"/>
      <c r="Q23" s="183"/>
      <c r="R23" s="183"/>
    </row>
    <row r="24" spans="1:18" ht="14.25">
      <c r="A24" s="186" t="s">
        <v>507</v>
      </c>
      <c r="B24" s="183"/>
      <c r="C24" s="183"/>
      <c r="D24" s="183"/>
      <c r="E24" s="183"/>
      <c r="F24" s="183"/>
      <c r="G24" s="183"/>
      <c r="H24" s="183"/>
      <c r="I24" s="183"/>
      <c r="J24" s="183"/>
      <c r="K24" s="183"/>
      <c r="L24" s="183"/>
      <c r="M24" s="183"/>
      <c r="N24" s="183"/>
      <c r="O24" s="183"/>
      <c r="P24" s="183"/>
      <c r="Q24" s="183"/>
      <c r="R24" s="183"/>
    </row>
    <row r="25" spans="1:18" ht="14.25">
      <c r="A25" s="186" t="s">
        <v>448</v>
      </c>
      <c r="B25" s="183"/>
      <c r="C25" s="183"/>
      <c r="D25" s="183"/>
      <c r="E25" s="183"/>
      <c r="F25" s="183"/>
      <c r="G25" s="183"/>
      <c r="H25" s="183"/>
      <c r="I25" s="183"/>
      <c r="J25" s="183"/>
      <c r="K25" s="183"/>
      <c r="L25" s="183"/>
      <c r="M25" s="183"/>
      <c r="N25" s="183"/>
      <c r="O25" s="183"/>
      <c r="P25" s="183"/>
      <c r="Q25" s="183"/>
      <c r="R25" s="183"/>
    </row>
    <row r="26" spans="1:18" ht="12.75">
      <c r="A26" s="183"/>
      <c r="B26" s="183"/>
      <c r="C26" s="183"/>
      <c r="D26" s="183"/>
      <c r="E26" s="183"/>
      <c r="F26" s="183"/>
      <c r="G26" s="183"/>
      <c r="H26" s="183"/>
      <c r="I26" s="183"/>
      <c r="J26" s="183"/>
      <c r="K26" s="183"/>
      <c r="L26" s="183"/>
      <c r="M26" s="183"/>
      <c r="N26" s="183"/>
      <c r="O26" s="183"/>
      <c r="P26" s="183"/>
      <c r="Q26" s="183"/>
      <c r="R26" s="183"/>
    </row>
    <row r="27" spans="1:18" ht="15.75">
      <c r="A27" s="207" t="s">
        <v>449</v>
      </c>
      <c r="B27" s="183"/>
      <c r="C27" s="183"/>
      <c r="D27" s="183"/>
      <c r="E27" s="183"/>
      <c r="F27" s="183"/>
      <c r="G27" s="183"/>
      <c r="H27" s="183"/>
      <c r="I27" s="183"/>
      <c r="J27" s="183"/>
      <c r="K27" s="183"/>
      <c r="L27" s="183"/>
      <c r="M27" s="183"/>
      <c r="N27" s="183"/>
      <c r="O27" s="183"/>
      <c r="P27" s="183"/>
      <c r="Q27" s="183"/>
      <c r="R27" s="183"/>
    </row>
    <row r="28" spans="1:18" ht="14.25">
      <c r="A28" s="186" t="s">
        <v>512</v>
      </c>
      <c r="B28" s="183"/>
      <c r="C28" s="183"/>
      <c r="D28" s="183"/>
      <c r="E28" s="183"/>
      <c r="F28" s="183"/>
      <c r="G28" s="183"/>
      <c r="H28" s="183"/>
      <c r="I28" s="183"/>
      <c r="J28" s="183"/>
      <c r="K28" s="183"/>
      <c r="L28" s="183"/>
      <c r="M28" s="183"/>
      <c r="N28" s="183"/>
      <c r="O28" s="183"/>
      <c r="P28" s="183"/>
      <c r="Q28" s="183"/>
      <c r="R28" s="183"/>
    </row>
    <row r="29" spans="1:18" ht="14.25">
      <c r="A29" s="188" t="s">
        <v>484</v>
      </c>
      <c r="B29" s="183"/>
      <c r="C29" s="183"/>
      <c r="D29" s="183"/>
      <c r="E29" s="183"/>
      <c r="F29" s="183"/>
      <c r="G29" s="183"/>
      <c r="H29" s="183"/>
      <c r="I29" s="183"/>
      <c r="J29" s="183"/>
      <c r="K29" s="183"/>
      <c r="L29" s="183"/>
      <c r="M29" s="183"/>
      <c r="N29" s="183"/>
      <c r="O29" s="183"/>
      <c r="P29" s="183"/>
      <c r="Q29" s="183"/>
      <c r="R29" s="183"/>
    </row>
    <row r="30" spans="1:18" ht="14.25">
      <c r="A30" s="188" t="s">
        <v>485</v>
      </c>
      <c r="B30" s="183"/>
      <c r="C30" s="183"/>
      <c r="D30" s="183"/>
      <c r="E30" s="183"/>
      <c r="F30" s="183"/>
      <c r="G30" s="183"/>
      <c r="H30" s="183"/>
      <c r="I30" s="183"/>
      <c r="J30" s="183"/>
      <c r="K30" s="183"/>
      <c r="L30" s="183"/>
      <c r="M30" s="183"/>
      <c r="N30" s="183"/>
      <c r="O30" s="183"/>
      <c r="P30" s="183"/>
      <c r="Q30" s="183"/>
      <c r="R30" s="183"/>
    </row>
    <row r="31" spans="1:18" ht="12.75">
      <c r="A31" s="183"/>
      <c r="B31" s="183"/>
      <c r="C31" s="183"/>
      <c r="D31" s="183"/>
      <c r="E31" s="183"/>
      <c r="F31" s="183"/>
      <c r="G31" s="183"/>
      <c r="H31" s="183"/>
      <c r="I31" s="183"/>
      <c r="J31" s="183"/>
      <c r="K31" s="183"/>
      <c r="L31" s="183"/>
      <c r="M31" s="183"/>
      <c r="N31" s="183"/>
      <c r="O31" s="183"/>
      <c r="P31" s="183"/>
      <c r="Q31" s="183"/>
      <c r="R31" s="183"/>
    </row>
    <row r="32" spans="1:18" ht="15.75">
      <c r="A32" s="207" t="s">
        <v>459</v>
      </c>
      <c r="B32" s="183"/>
      <c r="C32" s="183"/>
      <c r="D32" s="183"/>
      <c r="E32" s="183"/>
      <c r="F32" s="183"/>
      <c r="G32" s="183"/>
      <c r="H32" s="183"/>
      <c r="I32" s="183"/>
      <c r="J32" s="183"/>
      <c r="K32" s="183"/>
      <c r="L32" s="183"/>
      <c r="M32" s="183"/>
      <c r="N32" s="183"/>
      <c r="O32" s="183"/>
      <c r="P32" s="183"/>
      <c r="Q32" s="183"/>
      <c r="R32" s="183"/>
    </row>
    <row r="33" spans="1:18" ht="15">
      <c r="A33" s="184" t="s">
        <v>486</v>
      </c>
      <c r="B33" s="183"/>
      <c r="C33" s="183"/>
      <c r="D33" s="183"/>
      <c r="E33" s="183"/>
      <c r="F33" s="183"/>
      <c r="G33" s="183"/>
      <c r="H33" s="183"/>
      <c r="I33" s="183"/>
      <c r="J33" s="183"/>
      <c r="K33" s="183"/>
      <c r="L33" s="183"/>
      <c r="M33" s="183"/>
      <c r="N33" s="183"/>
      <c r="O33" s="183"/>
      <c r="P33" s="183"/>
      <c r="Q33" s="183"/>
      <c r="R33" s="183"/>
    </row>
    <row r="34" spans="1:18" ht="12.75">
      <c r="A34" s="183"/>
      <c r="B34" s="183"/>
      <c r="C34" s="183"/>
      <c r="D34" s="183"/>
      <c r="E34" s="183"/>
      <c r="F34" s="183"/>
      <c r="G34" s="183"/>
      <c r="H34" s="183"/>
      <c r="I34" s="183"/>
      <c r="J34" s="183"/>
      <c r="K34" s="183"/>
      <c r="L34" s="183"/>
      <c r="M34" s="183"/>
      <c r="N34" s="183"/>
      <c r="O34" s="183"/>
      <c r="P34" s="183"/>
      <c r="Q34" s="183"/>
      <c r="R34" s="183"/>
    </row>
    <row r="35" spans="1:18" ht="15.75">
      <c r="A35" s="207" t="s">
        <v>511</v>
      </c>
      <c r="B35" s="183"/>
      <c r="C35" s="183"/>
      <c r="D35" s="183"/>
      <c r="E35" s="183"/>
      <c r="F35" s="183"/>
      <c r="G35" s="183"/>
      <c r="H35" s="183"/>
      <c r="I35" s="183"/>
      <c r="J35" s="183"/>
      <c r="K35" s="183"/>
      <c r="L35" s="183"/>
      <c r="M35" s="183"/>
      <c r="N35" s="183"/>
      <c r="O35" s="183"/>
      <c r="P35" s="183"/>
      <c r="Q35" s="183"/>
      <c r="R35" s="183"/>
    </row>
    <row r="36" spans="1:18" ht="14.25">
      <c r="A36" s="186" t="s">
        <v>460</v>
      </c>
      <c r="B36" s="183"/>
      <c r="C36" s="183"/>
      <c r="D36" s="126" t="s">
        <v>487</v>
      </c>
      <c r="E36" s="183"/>
      <c r="F36" s="183"/>
      <c r="H36" s="183"/>
      <c r="I36" s="183"/>
      <c r="J36" s="183"/>
      <c r="K36" s="183"/>
      <c r="L36" s="183"/>
      <c r="M36" s="183"/>
      <c r="N36" s="183"/>
      <c r="O36" s="183"/>
      <c r="P36" s="183"/>
      <c r="Q36" s="183"/>
      <c r="R36" s="183"/>
    </row>
    <row r="37" spans="1:18" ht="12.75">
      <c r="A37" s="192" t="s">
        <v>461</v>
      </c>
      <c r="B37" s="28"/>
      <c r="C37" s="28"/>
      <c r="D37" s="28"/>
      <c r="E37" s="28"/>
      <c r="F37" s="28"/>
      <c r="G37" s="28"/>
      <c r="H37" s="28"/>
      <c r="I37" s="28"/>
      <c r="J37" s="183"/>
      <c r="K37" s="183"/>
      <c r="L37" s="183"/>
      <c r="M37" s="183"/>
      <c r="O37" s="183"/>
      <c r="P37" s="183"/>
      <c r="Q37" s="183"/>
      <c r="R37" s="183"/>
    </row>
    <row r="38" spans="1:18" ht="14.25">
      <c r="A38" s="193" t="s">
        <v>462</v>
      </c>
      <c r="B38" s="28"/>
      <c r="C38" s="28"/>
      <c r="D38" s="28"/>
      <c r="E38" s="194" t="s">
        <v>488</v>
      </c>
      <c r="F38" s="194"/>
      <c r="G38" s="194"/>
      <c r="H38" s="194"/>
      <c r="I38" s="28"/>
      <c r="J38" s="183"/>
      <c r="K38" s="183"/>
      <c r="L38" s="183"/>
      <c r="M38" s="183"/>
      <c r="N38" s="183"/>
      <c r="O38" s="183"/>
      <c r="P38" s="183"/>
      <c r="Q38" s="183"/>
      <c r="R38" s="183"/>
    </row>
    <row r="39" spans="1:18" ht="14.25">
      <c r="A39" s="193" t="s">
        <v>463</v>
      </c>
      <c r="B39" s="28"/>
      <c r="C39" s="28"/>
      <c r="D39" s="28"/>
      <c r="E39" s="194" t="s">
        <v>482</v>
      </c>
      <c r="F39" s="194"/>
      <c r="G39" s="195"/>
      <c r="H39" s="195" t="s">
        <v>464</v>
      </c>
      <c r="I39" s="28"/>
      <c r="J39" s="183"/>
      <c r="K39" s="183"/>
      <c r="L39" s="183"/>
      <c r="M39" s="183"/>
      <c r="N39" s="183"/>
      <c r="O39" s="183"/>
      <c r="P39" s="183"/>
      <c r="Q39" s="183"/>
      <c r="R39" s="183"/>
    </row>
    <row r="40" spans="1:18" ht="12.75">
      <c r="A40" s="183"/>
      <c r="B40" s="183"/>
      <c r="C40" s="183"/>
      <c r="D40" s="183"/>
      <c r="E40" s="183"/>
      <c r="F40" s="183"/>
      <c r="G40" s="183"/>
      <c r="H40" s="183"/>
      <c r="I40" s="183"/>
      <c r="J40" s="183"/>
      <c r="K40" s="183"/>
      <c r="L40" s="183"/>
      <c r="M40" s="183"/>
      <c r="N40" s="183"/>
      <c r="O40" s="183"/>
      <c r="P40" s="183"/>
      <c r="Q40" s="183"/>
      <c r="R40" s="183"/>
    </row>
    <row r="41" spans="1:18" ht="12.75">
      <c r="A41" s="183"/>
      <c r="B41" s="183"/>
      <c r="C41" s="183"/>
      <c r="D41" s="183"/>
      <c r="E41" s="183"/>
      <c r="F41" s="183"/>
      <c r="G41" s="183"/>
      <c r="H41" s="183"/>
      <c r="I41" s="183"/>
      <c r="J41" s="183"/>
      <c r="K41" s="183"/>
      <c r="L41" s="183"/>
      <c r="M41" s="183"/>
      <c r="N41" s="183"/>
      <c r="O41" s="183"/>
      <c r="P41" s="183"/>
      <c r="Q41" s="183"/>
      <c r="R41" s="183"/>
    </row>
    <row r="42" spans="1:18" ht="12.75">
      <c r="A42" s="183"/>
      <c r="B42" s="183"/>
      <c r="C42" s="183"/>
      <c r="D42" s="183"/>
      <c r="E42" s="183"/>
      <c r="F42" s="183"/>
      <c r="G42" s="183"/>
      <c r="H42" s="183"/>
      <c r="I42" s="183"/>
      <c r="J42" s="183"/>
      <c r="K42" s="183"/>
      <c r="L42" s="183"/>
      <c r="M42" s="183"/>
      <c r="N42" s="183"/>
      <c r="O42" s="183"/>
      <c r="P42" s="183"/>
      <c r="Q42" s="183"/>
      <c r="R42" s="183"/>
    </row>
    <row r="43" spans="1:18" ht="12.75">
      <c r="A43" s="183"/>
      <c r="B43" s="183"/>
      <c r="C43" s="183"/>
      <c r="D43" s="183"/>
      <c r="E43" s="183"/>
      <c r="F43" s="183"/>
      <c r="G43" s="183"/>
      <c r="H43" s="183"/>
      <c r="I43" s="183"/>
      <c r="J43" s="183"/>
      <c r="K43" s="183"/>
      <c r="L43" s="183"/>
      <c r="M43" s="183"/>
      <c r="N43" s="183"/>
      <c r="O43" s="183"/>
      <c r="P43" s="183"/>
      <c r="Q43" s="183"/>
      <c r="R43" s="183"/>
    </row>
    <row r="44" spans="1:18" ht="12.75">
      <c r="A44" s="183"/>
      <c r="B44" s="183"/>
      <c r="C44" s="183"/>
      <c r="D44" s="183"/>
      <c r="E44" s="183"/>
      <c r="F44" s="183"/>
      <c r="G44" s="183"/>
      <c r="H44" s="183"/>
      <c r="I44" s="183"/>
      <c r="J44" s="183"/>
      <c r="K44" s="183"/>
      <c r="L44" s="183"/>
      <c r="M44" s="183"/>
      <c r="N44" s="183"/>
      <c r="O44" s="183"/>
      <c r="P44" s="183"/>
      <c r="Q44" s="183"/>
      <c r="R44" s="183"/>
    </row>
    <row r="45" spans="1:18" ht="12.75">
      <c r="A45" s="183"/>
      <c r="B45" s="183"/>
      <c r="C45" s="183"/>
      <c r="D45" s="183"/>
      <c r="E45" s="183"/>
      <c r="F45" s="183"/>
      <c r="G45" s="183"/>
      <c r="H45" s="183"/>
      <c r="I45" s="183"/>
      <c r="J45" s="183"/>
      <c r="K45" s="183"/>
      <c r="L45" s="183"/>
      <c r="M45" s="183"/>
      <c r="N45" s="183"/>
      <c r="O45" s="183"/>
      <c r="P45" s="183"/>
      <c r="Q45" s="183"/>
      <c r="R45" s="183"/>
    </row>
    <row r="46" spans="1:18" ht="12.75">
      <c r="A46" s="183"/>
      <c r="B46" s="183"/>
      <c r="C46" s="183"/>
      <c r="D46" s="183"/>
      <c r="E46" s="183"/>
      <c r="F46" s="183"/>
      <c r="G46" s="183"/>
      <c r="H46" s="183"/>
      <c r="I46" s="183"/>
      <c r="J46" s="183"/>
      <c r="K46" s="183"/>
      <c r="L46" s="183"/>
      <c r="M46" s="183"/>
      <c r="N46" s="183"/>
      <c r="O46" s="183"/>
      <c r="P46" s="183"/>
      <c r="Q46" s="183"/>
      <c r="R46" s="183"/>
    </row>
    <row r="47" spans="1:18" ht="12.75">
      <c r="A47" s="183"/>
      <c r="B47" s="183"/>
      <c r="C47" s="183"/>
      <c r="D47" s="183"/>
      <c r="E47" s="183"/>
      <c r="F47" s="183"/>
      <c r="G47" s="183"/>
      <c r="H47" s="183"/>
      <c r="I47" s="183"/>
      <c r="J47" s="183"/>
      <c r="K47" s="183"/>
      <c r="L47" s="183"/>
      <c r="M47" s="183"/>
      <c r="N47" s="183"/>
      <c r="O47" s="183"/>
      <c r="P47" s="183"/>
      <c r="Q47" s="183"/>
      <c r="R47" s="183"/>
    </row>
    <row r="48" spans="1:18" ht="12.75">
      <c r="A48" s="183"/>
      <c r="B48" s="183"/>
      <c r="C48" s="183"/>
      <c r="D48" s="183"/>
      <c r="E48" s="183"/>
      <c r="F48" s="183"/>
      <c r="G48" s="183"/>
      <c r="H48" s="183"/>
      <c r="I48" s="183"/>
      <c r="J48" s="183"/>
      <c r="K48" s="183"/>
      <c r="L48" s="183"/>
      <c r="M48" s="183"/>
      <c r="N48" s="183"/>
      <c r="O48" s="183"/>
      <c r="P48" s="183"/>
      <c r="Q48" s="183"/>
      <c r="R48" s="183"/>
    </row>
    <row r="49" spans="1:18" ht="12.75">
      <c r="A49" s="183"/>
      <c r="B49" s="183"/>
      <c r="C49" s="183"/>
      <c r="D49" s="183"/>
      <c r="E49" s="183"/>
      <c r="F49" s="183"/>
      <c r="G49" s="183"/>
      <c r="H49" s="183"/>
      <c r="I49" s="183"/>
      <c r="J49" s="183"/>
      <c r="K49" s="183"/>
      <c r="L49" s="183"/>
      <c r="M49" s="183"/>
      <c r="N49" s="183"/>
      <c r="O49" s="183"/>
      <c r="P49" s="183"/>
      <c r="Q49" s="183"/>
      <c r="R49" s="183"/>
    </row>
    <row r="50" spans="1:18" ht="12.75">
      <c r="A50" s="183"/>
      <c r="B50" s="183"/>
      <c r="C50" s="183"/>
      <c r="D50" s="183"/>
      <c r="E50" s="183"/>
      <c r="F50" s="183"/>
      <c r="G50" s="183"/>
      <c r="H50" s="183"/>
      <c r="I50" s="183"/>
      <c r="J50" s="183"/>
      <c r="K50" s="183"/>
      <c r="L50" s="183"/>
      <c r="M50" s="183"/>
      <c r="N50" s="183"/>
      <c r="O50" s="183"/>
      <c r="P50" s="183"/>
      <c r="Q50" s="183"/>
      <c r="R50" s="183"/>
    </row>
    <row r="51" spans="1:18" ht="12.75">
      <c r="A51" s="183"/>
      <c r="B51" s="183"/>
      <c r="C51" s="183"/>
      <c r="D51" s="183"/>
      <c r="E51" s="183"/>
      <c r="F51" s="183"/>
      <c r="G51" s="183"/>
      <c r="H51" s="183"/>
      <c r="I51" s="183"/>
      <c r="J51" s="183"/>
      <c r="K51" s="183"/>
      <c r="L51" s="183"/>
      <c r="M51" s="183"/>
      <c r="N51" s="183"/>
      <c r="O51" s="183"/>
      <c r="P51" s="183"/>
      <c r="Q51" s="183"/>
      <c r="R51" s="183"/>
    </row>
    <row r="52" spans="1:18" ht="12.75">
      <c r="A52" s="183"/>
      <c r="B52" s="183"/>
      <c r="C52" s="183"/>
      <c r="D52" s="183"/>
      <c r="E52" s="183"/>
      <c r="F52" s="183"/>
      <c r="G52" s="183"/>
      <c r="H52" s="183"/>
      <c r="I52" s="183"/>
      <c r="J52" s="183"/>
      <c r="K52" s="183"/>
      <c r="L52" s="183"/>
      <c r="M52" s="183"/>
      <c r="N52" s="183"/>
      <c r="O52" s="183"/>
      <c r="P52" s="183"/>
      <c r="Q52" s="183"/>
      <c r="R52" s="183"/>
    </row>
    <row r="53" spans="1:18" ht="12.75">
      <c r="A53" s="183"/>
      <c r="B53" s="183"/>
      <c r="C53" s="183"/>
      <c r="D53" s="183"/>
      <c r="E53" s="183"/>
      <c r="F53" s="183"/>
      <c r="G53" s="183"/>
      <c r="H53" s="183"/>
      <c r="I53" s="183"/>
      <c r="J53" s="183"/>
      <c r="K53" s="183"/>
      <c r="L53" s="183"/>
      <c r="M53" s="183"/>
      <c r="N53" s="183"/>
      <c r="O53" s="183"/>
      <c r="P53" s="183"/>
      <c r="Q53" s="183"/>
      <c r="R53" s="183"/>
    </row>
    <row r="54" spans="1:18" ht="12.75">
      <c r="A54" s="183"/>
      <c r="B54" s="183"/>
      <c r="C54" s="183"/>
      <c r="D54" s="183"/>
      <c r="E54" s="183"/>
      <c r="F54" s="183"/>
      <c r="G54" s="183"/>
      <c r="H54" s="183"/>
      <c r="I54" s="183"/>
      <c r="J54" s="183"/>
      <c r="K54" s="183"/>
      <c r="L54" s="183"/>
      <c r="M54" s="183"/>
      <c r="N54" s="183"/>
      <c r="O54" s="183"/>
      <c r="P54" s="183"/>
      <c r="Q54" s="183"/>
      <c r="R54" s="183"/>
    </row>
    <row r="55" spans="1:18" ht="12.75">
      <c r="A55" s="183"/>
      <c r="B55" s="183"/>
      <c r="C55" s="183"/>
      <c r="D55" s="183"/>
      <c r="E55" s="183"/>
      <c r="F55" s="183"/>
      <c r="G55" s="183"/>
      <c r="H55" s="183"/>
      <c r="I55" s="183"/>
      <c r="J55" s="183"/>
      <c r="K55" s="183"/>
      <c r="L55" s="183"/>
      <c r="M55" s="183"/>
      <c r="N55" s="183"/>
      <c r="O55" s="183"/>
      <c r="P55" s="183"/>
      <c r="Q55" s="183"/>
      <c r="R55" s="183"/>
    </row>
    <row r="56" spans="1:18" ht="12.75">
      <c r="A56" s="183"/>
      <c r="B56" s="183"/>
      <c r="C56" s="183"/>
      <c r="D56" s="183"/>
      <c r="E56" s="183"/>
      <c r="F56" s="183"/>
      <c r="G56" s="183"/>
      <c r="H56" s="183"/>
      <c r="I56" s="183"/>
      <c r="J56" s="183"/>
      <c r="K56" s="183"/>
      <c r="L56" s="183"/>
      <c r="M56" s="183"/>
      <c r="N56" s="183"/>
      <c r="O56" s="183"/>
      <c r="P56" s="183"/>
      <c r="Q56" s="183"/>
      <c r="R56" s="183"/>
    </row>
    <row r="57" spans="1:18" ht="12.75">
      <c r="A57" s="183"/>
      <c r="B57" s="183"/>
      <c r="C57" s="183"/>
      <c r="D57" s="183"/>
      <c r="E57" s="183"/>
      <c r="F57" s="183"/>
      <c r="G57" s="183"/>
      <c r="H57" s="183"/>
      <c r="I57" s="183"/>
      <c r="J57" s="183"/>
      <c r="K57" s="183"/>
      <c r="L57" s="183"/>
      <c r="M57" s="183"/>
      <c r="N57" s="183"/>
      <c r="O57" s="183"/>
      <c r="P57" s="183"/>
      <c r="Q57" s="183"/>
      <c r="R57" s="183"/>
    </row>
    <row r="58" spans="1:18" ht="12.75">
      <c r="A58" s="183"/>
      <c r="B58" s="183"/>
      <c r="C58" s="183"/>
      <c r="D58" s="183"/>
      <c r="E58" s="183"/>
      <c r="F58" s="183"/>
      <c r="G58" s="183"/>
      <c r="H58" s="183"/>
      <c r="I58" s="183"/>
      <c r="J58" s="183"/>
      <c r="K58" s="183"/>
      <c r="L58" s="183"/>
      <c r="M58" s="183"/>
      <c r="N58" s="183"/>
      <c r="O58" s="183"/>
      <c r="P58" s="183"/>
      <c r="Q58" s="183"/>
      <c r="R58" s="183"/>
    </row>
    <row r="59" spans="1:18" ht="12.75">
      <c r="A59" s="183"/>
      <c r="B59" s="183"/>
      <c r="C59" s="183"/>
      <c r="D59" s="183"/>
      <c r="E59" s="183"/>
      <c r="F59" s="183"/>
      <c r="G59" s="183"/>
      <c r="H59" s="183"/>
      <c r="I59" s="183"/>
      <c r="J59" s="183"/>
      <c r="K59" s="183"/>
      <c r="L59" s="183"/>
      <c r="M59" s="183"/>
      <c r="N59" s="183"/>
      <c r="O59" s="183"/>
      <c r="P59" s="183"/>
      <c r="Q59" s="183"/>
      <c r="R59" s="183"/>
    </row>
    <row r="60" spans="1:18" ht="12.75">
      <c r="A60" s="183"/>
      <c r="B60" s="183"/>
      <c r="C60" s="183"/>
      <c r="D60" s="183"/>
      <c r="E60" s="183"/>
      <c r="F60" s="183"/>
      <c r="G60" s="183"/>
      <c r="H60" s="183"/>
      <c r="I60" s="183"/>
      <c r="J60" s="183"/>
      <c r="K60" s="183"/>
      <c r="L60" s="183"/>
      <c r="M60" s="183"/>
      <c r="N60" s="183"/>
      <c r="O60" s="183"/>
      <c r="P60" s="183"/>
      <c r="Q60" s="183"/>
      <c r="R60" s="183"/>
    </row>
    <row r="61" spans="1:18" ht="12.75">
      <c r="A61" s="183"/>
      <c r="B61" s="183"/>
      <c r="C61" s="183"/>
      <c r="D61" s="183"/>
      <c r="E61" s="183"/>
      <c r="F61" s="183"/>
      <c r="G61" s="183"/>
      <c r="H61" s="183"/>
      <c r="I61" s="183"/>
      <c r="J61" s="183"/>
      <c r="K61" s="183"/>
      <c r="L61" s="183"/>
      <c r="M61" s="183"/>
      <c r="N61" s="183"/>
      <c r="O61" s="183"/>
      <c r="P61" s="183"/>
      <c r="Q61" s="183"/>
      <c r="R61" s="183"/>
    </row>
    <row r="62" spans="1:18" ht="12.75">
      <c r="A62" s="183"/>
      <c r="B62" s="183"/>
      <c r="C62" s="183"/>
      <c r="D62" s="183"/>
      <c r="E62" s="183"/>
      <c r="F62" s="183"/>
      <c r="G62" s="183"/>
      <c r="H62" s="183"/>
      <c r="I62" s="183"/>
      <c r="J62" s="183"/>
      <c r="K62" s="183"/>
      <c r="L62" s="183"/>
      <c r="M62" s="183"/>
      <c r="N62" s="183"/>
      <c r="O62" s="183"/>
      <c r="P62" s="183"/>
      <c r="Q62" s="183"/>
      <c r="R62" s="183"/>
    </row>
    <row r="63" spans="1:18" ht="12.75">
      <c r="A63" s="183"/>
      <c r="B63" s="183"/>
      <c r="C63" s="183"/>
      <c r="D63" s="183"/>
      <c r="E63" s="183"/>
      <c r="F63" s="183"/>
      <c r="G63" s="183"/>
      <c r="H63" s="183"/>
      <c r="I63" s="183"/>
      <c r="J63" s="183"/>
      <c r="K63" s="183"/>
      <c r="L63" s="183"/>
      <c r="M63" s="183"/>
      <c r="N63" s="183"/>
      <c r="O63" s="183"/>
      <c r="P63" s="183"/>
      <c r="Q63" s="183"/>
      <c r="R63" s="183"/>
    </row>
    <row r="64" spans="1:18" ht="12.75">
      <c r="A64" s="183"/>
      <c r="B64" s="183"/>
      <c r="C64" s="183"/>
      <c r="D64" s="183"/>
      <c r="E64" s="183"/>
      <c r="F64" s="183"/>
      <c r="G64" s="183"/>
      <c r="H64" s="183"/>
      <c r="I64" s="183"/>
      <c r="J64" s="183"/>
      <c r="K64" s="183"/>
      <c r="L64" s="183"/>
      <c r="M64" s="183"/>
      <c r="N64" s="183"/>
      <c r="O64" s="183"/>
      <c r="P64" s="183"/>
      <c r="Q64" s="183"/>
      <c r="R64" s="183"/>
    </row>
    <row r="65" spans="1:18" ht="12.75">
      <c r="A65" s="183"/>
      <c r="B65" s="183"/>
      <c r="C65" s="183"/>
      <c r="D65" s="183"/>
      <c r="E65" s="183"/>
      <c r="F65" s="183"/>
      <c r="G65" s="183"/>
      <c r="H65" s="183"/>
      <c r="I65" s="183"/>
      <c r="J65" s="183"/>
      <c r="K65" s="183"/>
      <c r="L65" s="183"/>
      <c r="M65" s="183"/>
      <c r="N65" s="183"/>
      <c r="O65" s="183"/>
      <c r="P65" s="183"/>
      <c r="Q65" s="183"/>
      <c r="R65" s="183"/>
    </row>
    <row r="66" spans="1:18" ht="12.75">
      <c r="A66" s="183"/>
      <c r="B66" s="183"/>
      <c r="C66" s="183"/>
      <c r="D66" s="183"/>
      <c r="E66" s="183"/>
      <c r="F66" s="183"/>
      <c r="G66" s="183"/>
      <c r="H66" s="183"/>
      <c r="I66" s="183"/>
      <c r="J66" s="183"/>
      <c r="K66" s="183"/>
      <c r="L66" s="183"/>
      <c r="M66" s="183"/>
      <c r="N66" s="183"/>
      <c r="O66" s="183"/>
      <c r="P66" s="183"/>
      <c r="Q66" s="183"/>
      <c r="R66" s="183"/>
    </row>
    <row r="67" spans="1:18" ht="12.75">
      <c r="A67" s="183"/>
      <c r="B67" s="183"/>
      <c r="C67" s="183"/>
      <c r="D67" s="183"/>
      <c r="E67" s="183"/>
      <c r="F67" s="183"/>
      <c r="G67" s="183"/>
      <c r="H67" s="183"/>
      <c r="I67" s="183"/>
      <c r="J67" s="183"/>
      <c r="K67" s="183"/>
      <c r="L67" s="183"/>
      <c r="M67" s="183"/>
      <c r="N67" s="183"/>
      <c r="O67" s="183"/>
      <c r="P67" s="183"/>
      <c r="Q67" s="183"/>
      <c r="R67" s="183"/>
    </row>
    <row r="68" spans="1:18" ht="12.75">
      <c r="A68" s="183"/>
      <c r="B68" s="183"/>
      <c r="C68" s="183"/>
      <c r="D68" s="183"/>
      <c r="E68" s="183"/>
      <c r="F68" s="183"/>
      <c r="G68" s="183"/>
      <c r="H68" s="183"/>
      <c r="I68" s="183"/>
      <c r="J68" s="183"/>
      <c r="K68" s="183"/>
      <c r="L68" s="183"/>
      <c r="M68" s="183"/>
      <c r="N68" s="183"/>
      <c r="O68" s="183"/>
      <c r="P68" s="183"/>
      <c r="Q68" s="183"/>
      <c r="R68" s="183"/>
    </row>
    <row r="69" spans="1:18" ht="12.75">
      <c r="A69" s="183"/>
      <c r="B69" s="183"/>
      <c r="C69" s="183"/>
      <c r="D69" s="183"/>
      <c r="E69" s="183"/>
      <c r="F69" s="183"/>
      <c r="G69" s="183"/>
      <c r="H69" s="183"/>
      <c r="I69" s="183"/>
      <c r="J69" s="183"/>
      <c r="K69" s="183"/>
      <c r="L69" s="183"/>
      <c r="M69" s="183"/>
      <c r="N69" s="183"/>
      <c r="O69" s="183"/>
      <c r="P69" s="183"/>
      <c r="Q69" s="183"/>
      <c r="R69" s="183"/>
    </row>
    <row r="70" spans="1:18" ht="12.75">
      <c r="A70" s="183"/>
      <c r="B70" s="183"/>
      <c r="C70" s="183"/>
      <c r="D70" s="183"/>
      <c r="E70" s="183"/>
      <c r="F70" s="183"/>
      <c r="G70" s="183"/>
      <c r="H70" s="183"/>
      <c r="I70" s="183"/>
      <c r="J70" s="183"/>
      <c r="K70" s="183"/>
      <c r="L70" s="183"/>
      <c r="M70" s="183"/>
      <c r="N70" s="183"/>
      <c r="O70" s="183"/>
      <c r="P70" s="183"/>
      <c r="Q70" s="183"/>
      <c r="R70" s="183"/>
    </row>
    <row r="71" spans="1:18" ht="12.75">
      <c r="A71" s="183"/>
      <c r="B71" s="183"/>
      <c r="C71" s="183"/>
      <c r="D71" s="183"/>
      <c r="E71" s="183"/>
      <c r="F71" s="183"/>
      <c r="G71" s="183"/>
      <c r="H71" s="183"/>
      <c r="I71" s="183"/>
      <c r="J71" s="183"/>
      <c r="K71" s="183"/>
      <c r="L71" s="183"/>
      <c r="M71" s="183"/>
      <c r="N71" s="183"/>
      <c r="O71" s="183"/>
      <c r="P71" s="183"/>
      <c r="Q71" s="183"/>
      <c r="R71" s="183"/>
    </row>
    <row r="72" spans="1:18" ht="12.75">
      <c r="A72" s="183"/>
      <c r="B72" s="183"/>
      <c r="C72" s="183"/>
      <c r="D72" s="183"/>
      <c r="E72" s="183"/>
      <c r="F72" s="183"/>
      <c r="G72" s="183"/>
      <c r="H72" s="183"/>
      <c r="I72" s="183"/>
      <c r="J72" s="183"/>
      <c r="K72" s="183"/>
      <c r="L72" s="183"/>
      <c r="M72" s="183"/>
      <c r="N72" s="183"/>
      <c r="O72" s="183"/>
      <c r="P72" s="183"/>
      <c r="Q72" s="183"/>
      <c r="R72" s="183"/>
    </row>
    <row r="73" spans="1:18" ht="12.75">
      <c r="A73" s="183"/>
      <c r="B73" s="183"/>
      <c r="C73" s="183"/>
      <c r="D73" s="183"/>
      <c r="E73" s="183"/>
      <c r="F73" s="183"/>
      <c r="G73" s="183"/>
      <c r="H73" s="183"/>
      <c r="I73" s="183"/>
      <c r="J73" s="183"/>
      <c r="K73" s="183"/>
      <c r="L73" s="183"/>
      <c r="M73" s="183"/>
      <c r="N73" s="183"/>
      <c r="O73" s="183"/>
      <c r="P73" s="183"/>
      <c r="Q73" s="183"/>
      <c r="R73" s="183"/>
    </row>
    <row r="74" spans="1:18" ht="12.75">
      <c r="A74" s="183"/>
      <c r="B74" s="183"/>
      <c r="C74" s="183"/>
      <c r="D74" s="183"/>
      <c r="E74" s="183"/>
      <c r="F74" s="183"/>
      <c r="G74" s="183"/>
      <c r="H74" s="183"/>
      <c r="I74" s="183"/>
      <c r="J74" s="183"/>
      <c r="K74" s="183"/>
      <c r="L74" s="183"/>
      <c r="M74" s="183"/>
      <c r="N74" s="183"/>
      <c r="O74" s="183"/>
      <c r="P74" s="183"/>
      <c r="Q74" s="183"/>
      <c r="R74" s="183"/>
    </row>
    <row r="75" spans="1:18" ht="12.75">
      <c r="A75" s="183"/>
      <c r="B75" s="183"/>
      <c r="C75" s="183"/>
      <c r="D75" s="183"/>
      <c r="E75" s="183"/>
      <c r="F75" s="183"/>
      <c r="G75" s="183"/>
      <c r="H75" s="183"/>
      <c r="I75" s="183"/>
      <c r="J75" s="183"/>
      <c r="K75" s="183"/>
      <c r="L75" s="183"/>
      <c r="M75" s="183"/>
      <c r="N75" s="183"/>
      <c r="O75" s="183"/>
      <c r="P75" s="183"/>
      <c r="Q75" s="183"/>
      <c r="R75" s="183"/>
    </row>
    <row r="76" spans="1:18" ht="12.75">
      <c r="A76" s="183"/>
      <c r="B76" s="183"/>
      <c r="C76" s="183"/>
      <c r="D76" s="183"/>
      <c r="E76" s="183"/>
      <c r="F76" s="183"/>
      <c r="G76" s="183"/>
      <c r="H76" s="183"/>
      <c r="I76" s="183"/>
      <c r="J76" s="183"/>
      <c r="K76" s="183"/>
      <c r="L76" s="183"/>
      <c r="M76" s="183"/>
      <c r="N76" s="183"/>
      <c r="O76" s="183"/>
      <c r="P76" s="183"/>
      <c r="Q76" s="183"/>
      <c r="R76" s="183"/>
    </row>
    <row r="77" spans="1:18" ht="12.75">
      <c r="A77" s="183"/>
      <c r="B77" s="183"/>
      <c r="C77" s="183"/>
      <c r="D77" s="183"/>
      <c r="E77" s="183"/>
      <c r="F77" s="183"/>
      <c r="G77" s="183"/>
      <c r="H77" s="183"/>
      <c r="I77" s="183"/>
      <c r="J77" s="183"/>
      <c r="K77" s="183"/>
      <c r="L77" s="183"/>
      <c r="M77" s="183"/>
      <c r="N77" s="183"/>
      <c r="O77" s="183"/>
      <c r="P77" s="183"/>
      <c r="Q77" s="183"/>
      <c r="R77" s="183"/>
    </row>
    <row r="78" spans="1:18" ht="12.75">
      <c r="A78" s="183"/>
      <c r="B78" s="183"/>
      <c r="C78" s="183"/>
      <c r="D78" s="183"/>
      <c r="E78" s="183"/>
      <c r="F78" s="183"/>
      <c r="G78" s="183"/>
      <c r="H78" s="183"/>
      <c r="I78" s="183"/>
      <c r="J78" s="183"/>
      <c r="K78" s="183"/>
      <c r="L78" s="183"/>
      <c r="M78" s="183"/>
      <c r="N78" s="183"/>
      <c r="O78" s="183"/>
      <c r="P78" s="183"/>
      <c r="Q78" s="183"/>
      <c r="R78" s="183"/>
    </row>
    <row r="79" spans="1:18" ht="12.75">
      <c r="A79" s="183"/>
      <c r="B79" s="183"/>
      <c r="C79" s="183"/>
      <c r="D79" s="183"/>
      <c r="E79" s="183"/>
      <c r="F79" s="183"/>
      <c r="G79" s="183"/>
      <c r="H79" s="183"/>
      <c r="I79" s="183"/>
      <c r="J79" s="183"/>
      <c r="K79" s="183"/>
      <c r="L79" s="183"/>
      <c r="M79" s="183"/>
      <c r="N79" s="183"/>
      <c r="O79" s="183"/>
      <c r="P79" s="183"/>
      <c r="Q79" s="183"/>
      <c r="R79" s="183"/>
    </row>
    <row r="80" spans="1:18" ht="12.75">
      <c r="A80" s="183"/>
      <c r="B80" s="183"/>
      <c r="C80" s="183"/>
      <c r="D80" s="183"/>
      <c r="E80" s="183"/>
      <c r="F80" s="183"/>
      <c r="G80" s="183"/>
      <c r="H80" s="183"/>
      <c r="I80" s="183"/>
      <c r="J80" s="183"/>
      <c r="K80" s="183"/>
      <c r="L80" s="183"/>
      <c r="M80" s="183"/>
      <c r="N80" s="183"/>
      <c r="O80" s="183"/>
      <c r="P80" s="183"/>
      <c r="Q80" s="183"/>
      <c r="R80" s="183"/>
    </row>
    <row r="81" spans="1:18" ht="12.75">
      <c r="A81" s="183"/>
      <c r="B81" s="183"/>
      <c r="C81" s="183"/>
      <c r="D81" s="183"/>
      <c r="E81" s="183"/>
      <c r="F81" s="183"/>
      <c r="G81" s="183"/>
      <c r="H81" s="183"/>
      <c r="I81" s="183"/>
      <c r="J81" s="183"/>
      <c r="K81" s="183"/>
      <c r="L81" s="183"/>
      <c r="M81" s="183"/>
      <c r="N81" s="183"/>
      <c r="O81" s="183"/>
      <c r="P81" s="183"/>
      <c r="Q81" s="183"/>
      <c r="R81" s="183"/>
    </row>
    <row r="82" spans="1:18" ht="12.75">
      <c r="A82" s="183"/>
      <c r="B82" s="183"/>
      <c r="C82" s="183"/>
      <c r="D82" s="183"/>
      <c r="E82" s="183"/>
      <c r="F82" s="183"/>
      <c r="G82" s="183"/>
      <c r="H82" s="183"/>
      <c r="I82" s="183"/>
      <c r="J82" s="183"/>
      <c r="K82" s="183"/>
      <c r="L82" s="183"/>
      <c r="M82" s="183"/>
      <c r="N82" s="183"/>
      <c r="O82" s="183"/>
      <c r="P82" s="183"/>
      <c r="Q82" s="183"/>
      <c r="R82" s="183"/>
    </row>
    <row r="83" spans="1:18" ht="12.75">
      <c r="A83" s="183"/>
      <c r="B83" s="183"/>
      <c r="C83" s="183"/>
      <c r="D83" s="183"/>
      <c r="E83" s="183"/>
      <c r="F83" s="183"/>
      <c r="G83" s="183"/>
      <c r="H83" s="183"/>
      <c r="I83" s="183"/>
      <c r="J83" s="183"/>
      <c r="K83" s="183"/>
      <c r="L83" s="183"/>
      <c r="M83" s="183"/>
      <c r="N83" s="183"/>
      <c r="O83" s="183"/>
      <c r="P83" s="183"/>
      <c r="Q83" s="183"/>
      <c r="R83" s="183"/>
    </row>
    <row r="84" spans="1:18" ht="12.75">
      <c r="A84" s="183"/>
      <c r="B84" s="183"/>
      <c r="C84" s="183"/>
      <c r="D84" s="183"/>
      <c r="E84" s="183"/>
      <c r="F84" s="183"/>
      <c r="G84" s="183"/>
      <c r="H84" s="183"/>
      <c r="I84" s="183"/>
      <c r="J84" s="183"/>
      <c r="K84" s="183"/>
      <c r="L84" s="183"/>
      <c r="M84" s="183"/>
      <c r="N84" s="183"/>
      <c r="O84" s="183"/>
      <c r="P84" s="183"/>
      <c r="Q84" s="183"/>
      <c r="R84" s="183"/>
    </row>
    <row r="85" spans="1:18" ht="12.75">
      <c r="A85" s="183"/>
      <c r="B85" s="183"/>
      <c r="C85" s="183"/>
      <c r="D85" s="183"/>
      <c r="E85" s="183"/>
      <c r="F85" s="183"/>
      <c r="G85" s="183"/>
      <c r="H85" s="183"/>
      <c r="I85" s="183"/>
      <c r="J85" s="183"/>
      <c r="K85" s="183"/>
      <c r="L85" s="183"/>
      <c r="M85" s="183"/>
      <c r="N85" s="183"/>
      <c r="O85" s="183"/>
      <c r="P85" s="183"/>
      <c r="Q85" s="183"/>
      <c r="R85" s="183"/>
    </row>
    <row r="86" spans="1:18" ht="12.75">
      <c r="A86" s="183"/>
      <c r="B86" s="183"/>
      <c r="C86" s="183"/>
      <c r="D86" s="183"/>
      <c r="E86" s="183"/>
      <c r="F86" s="183"/>
      <c r="G86" s="183"/>
      <c r="H86" s="183"/>
      <c r="I86" s="183"/>
      <c r="J86" s="183"/>
      <c r="K86" s="183"/>
      <c r="L86" s="183"/>
      <c r="M86" s="183"/>
      <c r="N86" s="183"/>
      <c r="O86" s="183"/>
      <c r="P86" s="183"/>
      <c r="Q86" s="183"/>
      <c r="R86" s="183"/>
    </row>
    <row r="87" spans="1:18" ht="12.75">
      <c r="A87" s="183"/>
      <c r="B87" s="183"/>
      <c r="C87" s="183"/>
      <c r="D87" s="183"/>
      <c r="E87" s="183"/>
      <c r="F87" s="183"/>
      <c r="G87" s="183"/>
      <c r="H87" s="183"/>
      <c r="I87" s="183"/>
      <c r="J87" s="183"/>
      <c r="K87" s="183"/>
      <c r="L87" s="183"/>
      <c r="M87" s="183"/>
      <c r="N87" s="183"/>
      <c r="O87" s="183"/>
      <c r="P87" s="183"/>
      <c r="Q87" s="183"/>
      <c r="R87" s="183"/>
    </row>
    <row r="88" spans="1:18" ht="12.75">
      <c r="A88" s="183"/>
      <c r="B88" s="183"/>
      <c r="C88" s="183"/>
      <c r="D88" s="183"/>
      <c r="E88" s="183"/>
      <c r="F88" s="183"/>
      <c r="G88" s="183"/>
      <c r="H88" s="183"/>
      <c r="I88" s="183"/>
      <c r="J88" s="183"/>
      <c r="K88" s="183"/>
      <c r="L88" s="183"/>
      <c r="M88" s="183"/>
      <c r="N88" s="183"/>
      <c r="O88" s="183"/>
      <c r="P88" s="183"/>
      <c r="Q88" s="183"/>
      <c r="R88" s="183"/>
    </row>
    <row r="89" spans="1:18" ht="12.75">
      <c r="A89" s="183"/>
      <c r="B89" s="183"/>
      <c r="C89" s="183"/>
      <c r="D89" s="183"/>
      <c r="E89" s="183"/>
      <c r="F89" s="183"/>
      <c r="G89" s="183"/>
      <c r="H89" s="183"/>
      <c r="I89" s="183"/>
      <c r="J89" s="183"/>
      <c r="K89" s="183"/>
      <c r="L89" s="183"/>
      <c r="M89" s="183"/>
      <c r="N89" s="183"/>
      <c r="O89" s="183"/>
      <c r="P89" s="183"/>
      <c r="Q89" s="183"/>
      <c r="R89" s="183"/>
    </row>
    <row r="90" spans="1:18" ht="12.75">
      <c r="A90" s="183"/>
      <c r="B90" s="183"/>
      <c r="C90" s="183"/>
      <c r="D90" s="183"/>
      <c r="E90" s="183"/>
      <c r="F90" s="183"/>
      <c r="G90" s="183"/>
      <c r="H90" s="183"/>
      <c r="I90" s="183"/>
      <c r="J90" s="183"/>
      <c r="K90" s="183"/>
      <c r="L90" s="183"/>
      <c r="M90" s="183"/>
      <c r="N90" s="183"/>
      <c r="O90" s="183"/>
      <c r="P90" s="183"/>
      <c r="Q90" s="183"/>
      <c r="R90" s="183"/>
    </row>
  </sheetData>
  <hyperlinks>
    <hyperlink ref="H39" r:id="rId1" display="jsc@dgc.dk"/>
  </hyperlinks>
  <printOptions/>
  <pageMargins left="0.75" right="0.75" top="1" bottom="1" header="0" footer="0"/>
  <pageSetup horizontalDpi="600" verticalDpi="600" orientation="landscape" paperSize="9" scale="75"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1:O30"/>
  <sheetViews>
    <sheetView workbookViewId="0" topLeftCell="A3">
      <selection activeCell="F16" sqref="F16"/>
    </sheetView>
  </sheetViews>
  <sheetFormatPr defaultColWidth="11.421875" defaultRowHeight="12.75"/>
  <cols>
    <col min="1" max="1" width="27.7109375" style="0" customWidth="1"/>
    <col min="2" max="2" width="9.7109375" style="0" customWidth="1"/>
    <col min="3" max="3" width="9.140625" style="0" customWidth="1"/>
    <col min="4" max="4" width="11.00390625" style="0" customWidth="1"/>
    <col min="5" max="5" width="12.421875" style="0" customWidth="1"/>
    <col min="6" max="13" width="9.140625" style="0" customWidth="1"/>
    <col min="14" max="14" width="14.57421875" style="0" customWidth="1"/>
    <col min="15" max="15" width="13.00390625" style="0" customWidth="1"/>
    <col min="16" max="16384" width="9.140625" style="0" customWidth="1"/>
  </cols>
  <sheetData>
    <row r="1" ht="12.75">
      <c r="A1" t="s">
        <v>467</v>
      </c>
    </row>
    <row r="2" ht="12.75">
      <c r="A2" s="177" t="e">
        <f ca="1">+RIGHT(CELL("filnavn"),LEN(CELL("filnavn"))-FIND("]",CELL("filnavn")))</f>
        <v>#VALUE!</v>
      </c>
    </row>
    <row r="3" spans="1:13" ht="15.75">
      <c r="A3" s="83"/>
      <c r="B3" s="98" t="s">
        <v>119</v>
      </c>
      <c r="C3" s="98"/>
      <c r="D3" s="83"/>
      <c r="E3" s="83"/>
      <c r="F3" s="83"/>
      <c r="G3" s="81" t="s">
        <v>450</v>
      </c>
      <c r="H3" s="83"/>
      <c r="I3" s="83"/>
      <c r="J3" s="81"/>
      <c r="K3" s="81"/>
      <c r="L3" s="83"/>
      <c r="M3" s="83"/>
    </row>
    <row r="4" ht="12.75">
      <c r="D4" s="2"/>
    </row>
    <row r="5" spans="1:9" ht="12.75">
      <c r="A5" s="129" t="s">
        <v>313</v>
      </c>
      <c r="B5" s="130"/>
      <c r="C5" s="130"/>
      <c r="D5" s="130"/>
      <c r="E5" s="130"/>
      <c r="F5" s="130"/>
      <c r="G5" s="130"/>
      <c r="H5" s="130"/>
      <c r="I5" s="130"/>
    </row>
    <row r="6" spans="1:9" ht="12.75">
      <c r="A6" s="131" t="s">
        <v>298</v>
      </c>
      <c r="B6" s="130">
        <v>2005</v>
      </c>
      <c r="C6" s="130"/>
      <c r="D6" s="130"/>
      <c r="E6" s="130"/>
      <c r="F6" s="252" t="s">
        <v>315</v>
      </c>
      <c r="G6" s="252"/>
      <c r="H6" s="252"/>
      <c r="I6" s="252"/>
    </row>
    <row r="7" spans="1:9" ht="12.75">
      <c r="A7" s="130"/>
      <c r="B7" s="130" t="s">
        <v>95</v>
      </c>
      <c r="C7" s="130" t="s">
        <v>203</v>
      </c>
      <c r="D7" s="130" t="s">
        <v>309</v>
      </c>
      <c r="E7" s="130"/>
      <c r="F7" s="130" t="s">
        <v>96</v>
      </c>
      <c r="G7" s="130" t="s">
        <v>97</v>
      </c>
      <c r="H7" s="130" t="s">
        <v>307</v>
      </c>
      <c r="I7" s="130" t="s">
        <v>206</v>
      </c>
    </row>
    <row r="8" spans="1:9" ht="12.75">
      <c r="A8" s="130" t="s">
        <v>311</v>
      </c>
      <c r="B8" s="132">
        <v>0.3798618369281728</v>
      </c>
      <c r="C8" s="132">
        <v>0.3739319126397769</v>
      </c>
      <c r="D8" s="132">
        <v>0.4666257621339661</v>
      </c>
      <c r="E8" s="130"/>
      <c r="F8" s="133">
        <v>1</v>
      </c>
      <c r="G8" s="133">
        <v>0.33</v>
      </c>
      <c r="H8" s="133">
        <v>1</v>
      </c>
      <c r="I8" s="133">
        <v>1</v>
      </c>
    </row>
    <row r="9" spans="1:9" ht="12.75">
      <c r="A9" s="130" t="s">
        <v>310</v>
      </c>
      <c r="B9" s="132">
        <v>0.5101006340838499</v>
      </c>
      <c r="C9" s="132">
        <v>0.6282536141087107</v>
      </c>
      <c r="D9" s="132">
        <v>0.637950694865065</v>
      </c>
      <c r="E9" s="130"/>
      <c r="F9" s="130"/>
      <c r="G9" s="130"/>
      <c r="H9" s="130"/>
      <c r="I9" s="130"/>
    </row>
    <row r="10" spans="1:9" ht="12.75">
      <c r="A10" s="130" t="s">
        <v>312</v>
      </c>
      <c r="B10" s="132">
        <v>0.7730945210784148</v>
      </c>
      <c r="C10" s="132">
        <v>0.7172296782064969</v>
      </c>
      <c r="D10" s="132">
        <v>0.8117794166695641</v>
      </c>
      <c r="E10" s="130"/>
      <c r="F10" s="130"/>
      <c r="G10" s="130"/>
      <c r="H10" s="130"/>
      <c r="I10" s="130"/>
    </row>
    <row r="11" spans="1:9" ht="12.75">
      <c r="A11" s="134" t="s">
        <v>314</v>
      </c>
      <c r="B11" s="130"/>
      <c r="C11" s="130"/>
      <c r="D11" s="130"/>
      <c r="E11" s="130"/>
      <c r="F11" s="130"/>
      <c r="G11" s="130"/>
      <c r="H11" s="130"/>
      <c r="I11" s="130"/>
    </row>
    <row r="15" spans="1:15" ht="12.75">
      <c r="A15" s="130" t="s">
        <v>298</v>
      </c>
      <c r="B15" s="130">
        <v>2005</v>
      </c>
      <c r="C15" s="130"/>
      <c r="D15" s="130"/>
      <c r="E15" s="130"/>
      <c r="F15" s="130"/>
      <c r="G15" s="130"/>
      <c r="H15" s="130"/>
      <c r="I15" s="130"/>
      <c r="J15" s="130"/>
      <c r="K15" s="130"/>
      <c r="L15" s="130"/>
      <c r="M15" s="130"/>
      <c r="N15" s="130"/>
      <c r="O15" s="130"/>
    </row>
    <row r="16" spans="1:15" ht="12.75">
      <c r="A16" s="130"/>
      <c r="B16" s="130"/>
      <c r="C16" s="130" t="s">
        <v>172</v>
      </c>
      <c r="D16" s="130" t="s">
        <v>176</v>
      </c>
      <c r="E16" s="130" t="s">
        <v>121</v>
      </c>
      <c r="F16" s="130" t="s">
        <v>178</v>
      </c>
      <c r="G16" s="130" t="s">
        <v>179</v>
      </c>
      <c r="H16" s="130" t="s">
        <v>180</v>
      </c>
      <c r="I16" s="130" t="s">
        <v>181</v>
      </c>
      <c r="J16" s="130" t="s">
        <v>299</v>
      </c>
      <c r="K16" s="130" t="s">
        <v>183</v>
      </c>
      <c r="L16" s="130" t="s">
        <v>184</v>
      </c>
      <c r="M16" s="130" t="s">
        <v>185</v>
      </c>
      <c r="N16" s="130" t="s">
        <v>300</v>
      </c>
      <c r="O16" s="130" t="s">
        <v>301</v>
      </c>
    </row>
    <row r="17" spans="1:15" ht="12.75">
      <c r="A17" s="130" t="s">
        <v>94</v>
      </c>
      <c r="B17" s="130"/>
      <c r="C17" s="135">
        <v>0.10639885677993013</v>
      </c>
      <c r="D17" s="135">
        <v>0.19236019554539197</v>
      </c>
      <c r="E17" s="135">
        <v>0</v>
      </c>
      <c r="F17" s="135">
        <v>0.0010917451449760447</v>
      </c>
      <c r="G17" s="135">
        <v>0.03646495880384367</v>
      </c>
      <c r="H17" s="135">
        <v>0.27747129560432093</v>
      </c>
      <c r="I17" s="135">
        <v>0.21146582269457526</v>
      </c>
      <c r="J17" s="135">
        <v>0.15579880062662768</v>
      </c>
      <c r="K17" s="135">
        <v>0</v>
      </c>
      <c r="L17" s="135">
        <v>0.25207846193816574</v>
      </c>
      <c r="M17" s="135">
        <v>0.1843142112887852</v>
      </c>
      <c r="N17" s="135">
        <v>0.3348113905139414</v>
      </c>
      <c r="O17" s="135">
        <v>0.13444371531032492</v>
      </c>
    </row>
    <row r="18" spans="1:15" ht="12.75">
      <c r="A18" s="130" t="s">
        <v>302</v>
      </c>
      <c r="B18" s="130"/>
      <c r="C18" s="135">
        <v>0.10058748809145761</v>
      </c>
      <c r="D18" s="135">
        <v>0.07422791072116114</v>
      </c>
      <c r="E18" s="135">
        <v>0.24308752584424534</v>
      </c>
      <c r="F18" s="135">
        <v>0.03914510922708649</v>
      </c>
      <c r="G18" s="135">
        <v>0.07671520180571592</v>
      </c>
      <c r="H18" s="135">
        <v>0.22956722603437735</v>
      </c>
      <c r="I18" s="135">
        <v>0</v>
      </c>
      <c r="J18" s="135">
        <v>0.42149692174138637</v>
      </c>
      <c r="K18" s="135">
        <v>0.022979035652907136</v>
      </c>
      <c r="L18" s="135">
        <v>0.042500216506451895</v>
      </c>
      <c r="M18" s="135">
        <v>0.08756843434604122</v>
      </c>
      <c r="N18" s="135">
        <v>0.050579234093069816</v>
      </c>
      <c r="O18" s="135">
        <v>0.04895814127183117</v>
      </c>
    </row>
    <row r="19" spans="1:15" ht="12.75">
      <c r="A19" s="130" t="s">
        <v>203</v>
      </c>
      <c r="B19" s="130"/>
      <c r="C19" s="135">
        <v>0.009320419180692284</v>
      </c>
      <c r="D19" s="135">
        <v>0.01838780058103583</v>
      </c>
      <c r="E19" s="135">
        <v>0.0003859407305306685</v>
      </c>
      <c r="F19" s="135">
        <v>0.00973808630920045</v>
      </c>
      <c r="G19" s="135">
        <v>0.011556451455075641</v>
      </c>
      <c r="H19" s="135">
        <v>0.09467694816223929</v>
      </c>
      <c r="I19" s="135">
        <v>0.13342094753109832</v>
      </c>
      <c r="J19" s="135">
        <v>0</v>
      </c>
      <c r="K19" s="135">
        <v>0</v>
      </c>
      <c r="L19" s="135">
        <v>0.1347536156577466</v>
      </c>
      <c r="M19" s="135">
        <v>0.0600570529959705</v>
      </c>
      <c r="N19" s="135">
        <v>0.0069794815817140095</v>
      </c>
      <c r="O19" s="135">
        <v>0.027579075063823965</v>
      </c>
    </row>
    <row r="20" spans="1:15" ht="12.75">
      <c r="A20" s="130" t="s">
        <v>303</v>
      </c>
      <c r="B20" s="130"/>
      <c r="C20" s="135">
        <v>0.01673547157827882</v>
      </c>
      <c r="D20" s="135">
        <v>0.0019134513294986524</v>
      </c>
      <c r="E20" s="135">
        <v>0.03740868366643694</v>
      </c>
      <c r="F20" s="135">
        <v>0.002926507852504004</v>
      </c>
      <c r="G20" s="135">
        <v>0.005703205015297702</v>
      </c>
      <c r="H20" s="135">
        <v>0.06540186153950676</v>
      </c>
      <c r="I20" s="135">
        <v>0</v>
      </c>
      <c r="J20" s="135">
        <v>0.022570570450712937</v>
      </c>
      <c r="K20" s="135">
        <v>0.01535154062526149</v>
      </c>
      <c r="L20" s="135">
        <v>0.05557720620074478</v>
      </c>
      <c r="M20" s="135">
        <v>0.023973957956965938</v>
      </c>
      <c r="N20" s="135">
        <v>0.0066449694914913204</v>
      </c>
      <c r="O20" s="135">
        <v>0.005528794172778859</v>
      </c>
    </row>
    <row r="21" spans="1:15" ht="12.75">
      <c r="A21" s="130" t="s">
        <v>95</v>
      </c>
      <c r="B21" s="130"/>
      <c r="C21" s="135">
        <v>0.12483328040647824</v>
      </c>
      <c r="D21" s="135">
        <v>0.1184939737950507</v>
      </c>
      <c r="E21" s="135">
        <v>0</v>
      </c>
      <c r="F21" s="135">
        <v>0.05199370537951725</v>
      </c>
      <c r="G21" s="135">
        <v>0.4678014364835509</v>
      </c>
      <c r="H21" s="135">
        <v>0.15322032746789863</v>
      </c>
      <c r="I21" s="135">
        <v>0.2827029284649572</v>
      </c>
      <c r="J21" s="135">
        <v>0.16099741565970524</v>
      </c>
      <c r="K21" s="135">
        <v>0</v>
      </c>
      <c r="L21" s="135">
        <v>0.3296527236511648</v>
      </c>
      <c r="M21" s="135">
        <v>0.27608419618247326</v>
      </c>
      <c r="N21" s="135">
        <v>0.3410866361162392</v>
      </c>
      <c r="O21" s="135">
        <v>0.49051103919729755</v>
      </c>
    </row>
    <row r="22" spans="1:15" ht="12.75">
      <c r="A22" s="130" t="s">
        <v>304</v>
      </c>
      <c r="B22" s="130"/>
      <c r="C22" s="135">
        <v>0.009844395046046363</v>
      </c>
      <c r="D22" s="135">
        <v>0.003931909134396621</v>
      </c>
      <c r="E22" s="135">
        <v>0.4263542384562371</v>
      </c>
      <c r="F22" s="135">
        <v>0.0017015803142403521</v>
      </c>
      <c r="G22" s="135">
        <v>0.03034750898617662</v>
      </c>
      <c r="H22" s="135">
        <v>0.014654528160880495</v>
      </c>
      <c r="I22" s="135">
        <v>0</v>
      </c>
      <c r="J22" s="135">
        <v>0.10767419351619953</v>
      </c>
      <c r="K22" s="135">
        <v>0.9343842326482534</v>
      </c>
      <c r="L22" s="135">
        <v>0</v>
      </c>
      <c r="M22" s="135">
        <v>0.0018409742366839064</v>
      </c>
      <c r="N22" s="135">
        <v>0.0023893720730192108</v>
      </c>
      <c r="O22" s="135">
        <v>0.014113313689663598</v>
      </c>
    </row>
    <row r="23" spans="1:15" ht="12.75">
      <c r="A23" s="130" t="s">
        <v>305</v>
      </c>
      <c r="B23" s="130"/>
      <c r="C23" s="135">
        <v>0.01635439822165767</v>
      </c>
      <c r="D23" s="135">
        <v>0.018294461491791994</v>
      </c>
      <c r="E23" s="135">
        <v>5.5134390075809785E-05</v>
      </c>
      <c r="F23" s="135">
        <v>0.004770032559590359</v>
      </c>
      <c r="G23" s="135">
        <v>2.9355930876568095E-05</v>
      </c>
      <c r="H23" s="135">
        <v>0.00975609756097561</v>
      </c>
      <c r="I23" s="135">
        <v>0.017857942534712862</v>
      </c>
      <c r="J23" s="135">
        <v>0.042486953571678025</v>
      </c>
      <c r="K23" s="135">
        <v>0</v>
      </c>
      <c r="L23" s="135">
        <v>0.015003897116134061</v>
      </c>
      <c r="M23" s="135">
        <v>0.007966084781164942</v>
      </c>
      <c r="N23" s="135">
        <v>0.0250531949677309</v>
      </c>
      <c r="O23" s="135">
        <v>0.007555089388693277</v>
      </c>
    </row>
    <row r="24" spans="1:15" ht="12.75">
      <c r="A24" s="130" t="s">
        <v>306</v>
      </c>
      <c r="B24" s="130"/>
      <c r="C24" s="135">
        <v>0.024690377897745315</v>
      </c>
      <c r="D24" s="135">
        <v>0.007957157358037079</v>
      </c>
      <c r="E24" s="135">
        <v>0.10968986905582356</v>
      </c>
      <c r="F24" s="135">
        <v>0.004133911391650866</v>
      </c>
      <c r="G24" s="135">
        <v>0.02702539614197833</v>
      </c>
      <c r="H24" s="135">
        <v>0.011142061281337047</v>
      </c>
      <c r="I24" s="135">
        <v>0</v>
      </c>
      <c r="J24" s="135">
        <v>0.02463604705694529</v>
      </c>
      <c r="K24" s="135">
        <v>0.012249048976885793</v>
      </c>
      <c r="L24" s="135">
        <v>0.02801593487485927</v>
      </c>
      <c r="M24" s="135">
        <v>0.002615215738093026</v>
      </c>
      <c r="N24" s="135">
        <v>0.007364296241894998</v>
      </c>
      <c r="O24" s="135">
        <v>0.009129222531915497</v>
      </c>
    </row>
    <row r="25" spans="1:15" ht="12.75">
      <c r="A25" s="130" t="s">
        <v>96</v>
      </c>
      <c r="B25" s="130"/>
      <c r="C25" s="135">
        <v>0.5696093998094633</v>
      </c>
      <c r="D25" s="135">
        <v>0.003360207212778121</v>
      </c>
      <c r="E25" s="135">
        <v>0.0006340454858718126</v>
      </c>
      <c r="F25" s="135">
        <v>0.09059732303389492</v>
      </c>
      <c r="G25" s="135">
        <v>0.03193436013855999</v>
      </c>
      <c r="H25" s="135">
        <v>0.11416536449487058</v>
      </c>
      <c r="I25" s="135">
        <v>0.07147837991721738</v>
      </c>
      <c r="J25" s="135">
        <v>0.0008780770113451541</v>
      </c>
      <c r="K25" s="135">
        <v>0.014167186966960395</v>
      </c>
      <c r="L25" s="135">
        <v>0.10242920239023123</v>
      </c>
      <c r="M25" s="135">
        <v>0.06728330700912229</v>
      </c>
      <c r="N25" s="135">
        <v>0.01247755247815611</v>
      </c>
      <c r="O25" s="135">
        <v>0.06382911928433756</v>
      </c>
    </row>
    <row r="26" spans="1:15" ht="12.75">
      <c r="A26" s="130" t="s">
        <v>97</v>
      </c>
      <c r="B26" s="130"/>
      <c r="C26" s="135">
        <v>0</v>
      </c>
      <c r="D26" s="135">
        <v>0.555309244070051</v>
      </c>
      <c r="E26" s="135">
        <v>0</v>
      </c>
      <c r="F26" s="135">
        <v>0.7912593797205273</v>
      </c>
      <c r="G26" s="135">
        <v>0.2659239616154895</v>
      </c>
      <c r="H26" s="135">
        <v>0</v>
      </c>
      <c r="I26" s="135">
        <v>0.2785208432531432</v>
      </c>
      <c r="J26" s="135">
        <v>0.03988265698121115</v>
      </c>
      <c r="K26" s="135">
        <v>0</v>
      </c>
      <c r="L26" s="135">
        <v>0</v>
      </c>
      <c r="M26" s="135">
        <v>0.19799591888701923</v>
      </c>
      <c r="N26" s="135">
        <v>0.2052797577428231</v>
      </c>
      <c r="O26" s="135">
        <v>0.18993758991992515</v>
      </c>
    </row>
    <row r="27" spans="1:15" ht="12.75">
      <c r="A27" s="130" t="s">
        <v>307</v>
      </c>
      <c r="B27" s="130"/>
      <c r="C27" s="135">
        <v>0.00022229279136233725</v>
      </c>
      <c r="D27" s="135">
        <v>1.1667386155479589E-05</v>
      </c>
      <c r="E27" s="135">
        <v>5.5134390075809785E-05</v>
      </c>
      <c r="F27" s="135">
        <v>2.6285998675185666E-05</v>
      </c>
      <c r="G27" s="135">
        <v>0.002090794632431128</v>
      </c>
      <c r="H27" s="135">
        <v>0.00010530606698824649</v>
      </c>
      <c r="I27" s="135">
        <v>1.8278344457229132E-06</v>
      </c>
      <c r="J27" s="135">
        <v>0.00033925702711062774</v>
      </c>
      <c r="K27" s="135">
        <v>0</v>
      </c>
      <c r="L27" s="135">
        <v>6.495193556767992E-05</v>
      </c>
      <c r="M27" s="135">
        <v>0.0002684037204884948</v>
      </c>
      <c r="N27" s="135">
        <v>2.0121027983319667E-05</v>
      </c>
      <c r="O27" s="135">
        <v>0.0001433798904080962</v>
      </c>
    </row>
    <row r="28" spans="1:15" ht="12.75">
      <c r="A28" s="130" t="s">
        <v>206</v>
      </c>
      <c r="B28" s="130"/>
      <c r="C28" s="135">
        <v>0.021086059066370275</v>
      </c>
      <c r="D28" s="135">
        <v>0.0026484966572938667</v>
      </c>
      <c r="E28" s="135">
        <v>0.18232942798070295</v>
      </c>
      <c r="F28" s="135">
        <v>0.0016875611149469198</v>
      </c>
      <c r="G28" s="135">
        <v>0.04440736899100404</v>
      </c>
      <c r="H28" s="135">
        <v>0.007962497452272572</v>
      </c>
      <c r="I28" s="135">
        <v>0.0016030108088989949</v>
      </c>
      <c r="J28" s="135">
        <v>0.020624831618754925</v>
      </c>
      <c r="K28" s="135">
        <v>0.0008689551297317825</v>
      </c>
      <c r="L28" s="135">
        <v>0.038386593920498834</v>
      </c>
      <c r="M28" s="135">
        <v>0.07306431021964371</v>
      </c>
      <c r="N28" s="135">
        <v>0.007303933157945039</v>
      </c>
      <c r="O28" s="135">
        <v>0.004189176177103215</v>
      </c>
    </row>
    <row r="29" spans="1:15" ht="12.75">
      <c r="A29" s="130" t="s">
        <v>308</v>
      </c>
      <c r="B29" s="130"/>
      <c r="C29" s="135">
        <v>0.00031756113051762465</v>
      </c>
      <c r="D29" s="135">
        <v>0.0031035247173575703</v>
      </c>
      <c r="E29" s="135">
        <v>0</v>
      </c>
      <c r="F29" s="135">
        <v>0.0009287719531898936</v>
      </c>
      <c r="G29" s="135">
        <v>0</v>
      </c>
      <c r="H29" s="135">
        <v>0.021876486174332497</v>
      </c>
      <c r="I29" s="135">
        <v>0.0029482969609510587</v>
      </c>
      <c r="J29" s="135">
        <v>0.0026142747383230726</v>
      </c>
      <c r="K29" s="135">
        <v>0</v>
      </c>
      <c r="L29" s="135">
        <v>0.0015371958084350913</v>
      </c>
      <c r="M29" s="135">
        <v>0.016967932637548304</v>
      </c>
      <c r="N29" s="135">
        <v>1.0060513991659834E-05</v>
      </c>
      <c r="O29" s="135">
        <v>0.004082344101897183</v>
      </c>
    </row>
    <row r="30" spans="1:15" ht="12.75">
      <c r="A30" s="130" t="s">
        <v>111</v>
      </c>
      <c r="B30" s="130"/>
      <c r="C30" s="135">
        <v>1</v>
      </c>
      <c r="D30" s="135">
        <v>1</v>
      </c>
      <c r="E30" s="135">
        <v>1</v>
      </c>
      <c r="F30" s="135">
        <v>1</v>
      </c>
      <c r="G30" s="135">
        <v>1</v>
      </c>
      <c r="H30" s="135">
        <v>1</v>
      </c>
      <c r="I30" s="135">
        <v>1</v>
      </c>
      <c r="J30" s="135">
        <v>1</v>
      </c>
      <c r="K30" s="135">
        <v>1</v>
      </c>
      <c r="L30" s="135">
        <v>1</v>
      </c>
      <c r="M30" s="135">
        <v>1</v>
      </c>
      <c r="N30" s="135">
        <v>1</v>
      </c>
      <c r="O30" s="135">
        <v>1</v>
      </c>
    </row>
  </sheetData>
  <mergeCells count="1">
    <mergeCell ref="F6:I6"/>
  </mergeCells>
  <printOptions/>
  <pageMargins left="0.75" right="0.75" top="1" bottom="1" header="0" footer="0"/>
  <pageSetup fitToHeight="1" fitToWidth="1"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dimension ref="A1:P47"/>
  <sheetViews>
    <sheetView workbookViewId="0" topLeftCell="A1">
      <selection activeCell="O31" sqref="O31"/>
    </sheetView>
  </sheetViews>
  <sheetFormatPr defaultColWidth="11.421875" defaultRowHeight="12.75"/>
  <cols>
    <col min="1" max="1" width="9.140625" style="0" customWidth="1"/>
    <col min="2" max="2" width="22.8515625" style="0" bestFit="1" customWidth="1"/>
    <col min="3" max="3" width="14.140625" style="0" bestFit="1" customWidth="1"/>
    <col min="4" max="4" width="12.57421875" style="0" bestFit="1" customWidth="1"/>
    <col min="5" max="5" width="11.57421875" style="0" bestFit="1" customWidth="1"/>
    <col min="6" max="16384" width="9.140625" style="0" customWidth="1"/>
  </cols>
  <sheetData>
    <row r="1" ht="12.75">
      <c r="A1" t="s">
        <v>468</v>
      </c>
    </row>
    <row r="2" spans="1:13" ht="15.75">
      <c r="A2" s="83"/>
      <c r="B2" s="98" t="s">
        <v>353</v>
      </c>
      <c r="C2" s="98"/>
      <c r="D2" s="83"/>
      <c r="E2" s="83"/>
      <c r="F2" s="83"/>
      <c r="G2" s="81" t="s">
        <v>450</v>
      </c>
      <c r="H2" s="83"/>
      <c r="I2" s="83"/>
      <c r="J2" s="81"/>
      <c r="K2" s="81"/>
      <c r="L2" s="83"/>
      <c r="M2" s="83"/>
    </row>
    <row r="5" spans="2:10" ht="12.75">
      <c r="B5" s="2" t="s">
        <v>115</v>
      </c>
      <c r="C5" s="2" t="s">
        <v>118</v>
      </c>
      <c r="D5" s="2"/>
      <c r="E5" s="2"/>
      <c r="F5" s="2"/>
      <c r="G5" s="2"/>
      <c r="H5" s="2"/>
      <c r="I5" s="2"/>
      <c r="J5" s="2"/>
    </row>
    <row r="6" spans="2:10" ht="12.75">
      <c r="B6" s="2"/>
      <c r="C6" s="2" t="s">
        <v>116</v>
      </c>
      <c r="D6" s="2"/>
      <c r="E6" s="2"/>
      <c r="F6" s="2"/>
      <c r="G6" s="2"/>
      <c r="H6" s="2"/>
      <c r="I6" s="2"/>
      <c r="J6" s="2"/>
    </row>
    <row r="7" spans="2:10" ht="12.75">
      <c r="B7" s="2"/>
      <c r="C7" s="2" t="s">
        <v>117</v>
      </c>
      <c r="D7" s="2"/>
      <c r="E7" s="2"/>
      <c r="F7" s="2"/>
      <c r="G7" s="2"/>
      <c r="H7" s="2"/>
      <c r="I7" s="2"/>
      <c r="J7" s="2"/>
    </row>
    <row r="10" spans="2:16" ht="12.75">
      <c r="B10" s="5" t="s">
        <v>167</v>
      </c>
      <c r="C10" s="5"/>
      <c r="D10" s="5"/>
      <c r="E10" s="5"/>
      <c r="F10" s="5"/>
      <c r="G10" s="5">
        <v>2006</v>
      </c>
      <c r="H10" s="5"/>
      <c r="I10" s="5"/>
      <c r="J10" s="5"/>
      <c r="K10" s="5"/>
      <c r="L10" s="5"/>
      <c r="M10" s="5"/>
      <c r="N10" s="5"/>
      <c r="O10" s="5"/>
      <c r="P10" s="5"/>
    </row>
    <row r="11" spans="2:16" ht="12.75">
      <c r="B11" s="100" t="s">
        <v>169</v>
      </c>
      <c r="C11" s="5"/>
      <c r="D11" s="5"/>
      <c r="E11" s="5"/>
      <c r="F11" s="5"/>
      <c r="G11" s="5"/>
      <c r="H11" s="5"/>
      <c r="I11" s="5"/>
      <c r="J11" s="5"/>
      <c r="K11" s="5"/>
      <c r="L11" s="5"/>
      <c r="M11" s="5"/>
      <c r="N11" s="5"/>
      <c r="O11" s="5"/>
      <c r="P11" s="5"/>
    </row>
    <row r="12" spans="2:16" ht="12.75">
      <c r="B12" s="5"/>
      <c r="C12" s="100" t="s">
        <v>171</v>
      </c>
      <c r="D12" s="5" t="s">
        <v>172</v>
      </c>
      <c r="E12" s="5" t="s">
        <v>176</v>
      </c>
      <c r="F12" s="5" t="s">
        <v>121</v>
      </c>
      <c r="G12" s="5" t="s">
        <v>178</v>
      </c>
      <c r="H12" s="5" t="s">
        <v>179</v>
      </c>
      <c r="I12" s="5" t="s">
        <v>180</v>
      </c>
      <c r="J12" s="5" t="s">
        <v>181</v>
      </c>
      <c r="K12" s="5" t="s">
        <v>182</v>
      </c>
      <c r="L12" s="5" t="s">
        <v>183</v>
      </c>
      <c r="M12" s="5" t="s">
        <v>184</v>
      </c>
      <c r="N12" s="5" t="s">
        <v>185</v>
      </c>
      <c r="O12" s="5" t="s">
        <v>186</v>
      </c>
      <c r="P12" s="5" t="s">
        <v>187</v>
      </c>
    </row>
    <row r="13" spans="2:16" ht="12.75">
      <c r="B13" s="5" t="s">
        <v>168</v>
      </c>
      <c r="C13" s="100" t="s">
        <v>170</v>
      </c>
      <c r="D13" s="5">
        <v>794.8</v>
      </c>
      <c r="E13" s="5">
        <v>675.62</v>
      </c>
      <c r="F13" s="5">
        <v>1218.25</v>
      </c>
      <c r="G13" s="5">
        <v>774.22</v>
      </c>
      <c r="H13" s="5">
        <v>682.43</v>
      </c>
      <c r="I13" s="5">
        <v>133.68</v>
      </c>
      <c r="J13" s="5">
        <v>666.6</v>
      </c>
      <c r="K13" s="5">
        <v>1041.64</v>
      </c>
      <c r="L13" s="5">
        <v>781.54</v>
      </c>
      <c r="M13" s="5">
        <v>790.61</v>
      </c>
      <c r="N13" s="5">
        <v>720</v>
      </c>
      <c r="O13" s="5">
        <v>593.08</v>
      </c>
      <c r="P13" s="5">
        <v>620.24</v>
      </c>
    </row>
    <row r="14" spans="2:16" ht="12.75">
      <c r="B14" s="5" t="s">
        <v>173</v>
      </c>
      <c r="C14" s="100" t="s">
        <v>195</v>
      </c>
      <c r="D14" s="5">
        <v>744.54</v>
      </c>
      <c r="E14" s="5" t="s">
        <v>177</v>
      </c>
      <c r="F14" s="5">
        <v>1270.76</v>
      </c>
      <c r="G14" s="5">
        <v>653.44</v>
      </c>
      <c r="H14" s="5" t="s">
        <v>177</v>
      </c>
      <c r="I14" s="5"/>
      <c r="J14" s="5">
        <v>1271.52</v>
      </c>
      <c r="K14" s="5">
        <v>858.15</v>
      </c>
      <c r="L14" s="5"/>
      <c r="M14" s="5"/>
      <c r="N14" s="5">
        <v>726.64</v>
      </c>
      <c r="O14" s="5">
        <v>519.67</v>
      </c>
      <c r="P14" s="5">
        <v>487.47</v>
      </c>
    </row>
    <row r="15" spans="2:16" ht="12.75">
      <c r="B15" s="5" t="s">
        <v>174</v>
      </c>
      <c r="C15" s="100" t="s">
        <v>175</v>
      </c>
      <c r="D15" s="5">
        <v>0.1613</v>
      </c>
      <c r="E15" s="5" t="s">
        <v>177</v>
      </c>
      <c r="F15" s="5">
        <v>0.2935</v>
      </c>
      <c r="G15" s="5">
        <v>0.1365</v>
      </c>
      <c r="H15" s="5">
        <v>0.1975</v>
      </c>
      <c r="I15" s="5">
        <v>0.1995</v>
      </c>
      <c r="J15" s="5">
        <v>0.1963</v>
      </c>
      <c r="K15" s="5">
        <v>0.2443</v>
      </c>
      <c r="L15" s="5">
        <v>0.12</v>
      </c>
      <c r="M15" s="5">
        <v>0.1764</v>
      </c>
      <c r="N15" s="5">
        <v>0.1535</v>
      </c>
      <c r="O15" s="5">
        <v>0.158</v>
      </c>
      <c r="P15" s="5">
        <v>0.0961</v>
      </c>
    </row>
    <row r="16" spans="2:16" ht="12.75">
      <c r="B16" s="5"/>
      <c r="C16" s="100"/>
      <c r="D16" s="5"/>
      <c r="E16" s="5"/>
      <c r="F16" s="5"/>
      <c r="G16" s="5"/>
      <c r="H16" s="5"/>
      <c r="I16" s="5"/>
      <c r="J16" s="5"/>
      <c r="K16" s="5"/>
      <c r="L16" s="5"/>
      <c r="M16" s="5"/>
      <c r="N16" s="5"/>
      <c r="O16" s="5"/>
      <c r="P16" s="5"/>
    </row>
    <row r="17" spans="2:16" ht="12.75">
      <c r="B17" s="5"/>
      <c r="C17" s="100"/>
      <c r="D17" s="5"/>
      <c r="E17" s="5"/>
      <c r="F17" s="5"/>
      <c r="G17" s="5"/>
      <c r="H17" s="5"/>
      <c r="I17" s="5"/>
      <c r="J17" s="5"/>
      <c r="K17" s="5"/>
      <c r="L17" s="5"/>
      <c r="M17" s="5"/>
      <c r="N17" s="5"/>
      <c r="O17" s="5"/>
      <c r="P17" s="5"/>
    </row>
    <row r="20" ht="12.75">
      <c r="B20" s="1" t="s">
        <v>189</v>
      </c>
    </row>
    <row r="22" spans="2:10" ht="12.75">
      <c r="B22" s="5" t="s">
        <v>192</v>
      </c>
      <c r="C22" s="5">
        <v>10</v>
      </c>
      <c r="D22" s="5" t="s">
        <v>175</v>
      </c>
      <c r="E22" s="101" t="s">
        <v>188</v>
      </c>
      <c r="F22" s="101"/>
      <c r="G22" s="101"/>
      <c r="H22" s="101"/>
      <c r="I22" s="101"/>
      <c r="J22" s="101"/>
    </row>
    <row r="23" spans="2:4" ht="12.75">
      <c r="B23" s="5" t="s">
        <v>194</v>
      </c>
      <c r="C23" s="5">
        <v>0.9</v>
      </c>
      <c r="D23" s="5"/>
    </row>
    <row r="24" spans="2:4" ht="12.75">
      <c r="B24" s="5" t="s">
        <v>196</v>
      </c>
      <c r="C24" s="5">
        <v>1.1666</v>
      </c>
      <c r="D24" s="5" t="s">
        <v>197</v>
      </c>
    </row>
    <row r="27" spans="2:16" ht="12.75">
      <c r="B27" s="99" t="s">
        <v>190</v>
      </c>
      <c r="C27" s="83" t="s">
        <v>198</v>
      </c>
      <c r="D27" s="83"/>
      <c r="E27" s="83"/>
      <c r="F27" s="83"/>
      <c r="G27" s="83">
        <v>2006</v>
      </c>
      <c r="H27" s="83"/>
      <c r="I27" s="83"/>
      <c r="J27" s="83"/>
      <c r="K27" s="83"/>
      <c r="L27" s="83"/>
      <c r="M27" s="83"/>
      <c r="N27" s="83"/>
      <c r="O27" s="83"/>
      <c r="P27" s="83"/>
    </row>
    <row r="28" spans="2:16" ht="12.75">
      <c r="B28" s="99" t="s">
        <v>169</v>
      </c>
      <c r="C28" s="83"/>
      <c r="D28" s="83"/>
      <c r="E28" s="83"/>
      <c r="F28" s="83"/>
      <c r="G28" s="83"/>
      <c r="H28" s="83"/>
      <c r="I28" s="83"/>
      <c r="J28" s="83"/>
      <c r="K28" s="83"/>
      <c r="L28" s="83"/>
      <c r="M28" s="83"/>
      <c r="N28" s="83"/>
      <c r="O28" s="83"/>
      <c r="P28" s="83"/>
    </row>
    <row r="29" spans="2:16" ht="12.75">
      <c r="B29" s="83"/>
      <c r="C29" s="99" t="s">
        <v>171</v>
      </c>
      <c r="D29" s="175" t="s">
        <v>172</v>
      </c>
      <c r="E29" s="175" t="s">
        <v>176</v>
      </c>
      <c r="F29" s="175" t="s">
        <v>121</v>
      </c>
      <c r="G29" s="175" t="s">
        <v>178</v>
      </c>
      <c r="H29" s="175" t="s">
        <v>179</v>
      </c>
      <c r="I29" s="175" t="s">
        <v>180</v>
      </c>
      <c r="J29" s="175" t="s">
        <v>181</v>
      </c>
      <c r="K29" s="175" t="s">
        <v>182</v>
      </c>
      <c r="L29" s="175" t="s">
        <v>183</v>
      </c>
      <c r="M29" s="175" t="s">
        <v>184</v>
      </c>
      <c r="N29" s="175" t="s">
        <v>185</v>
      </c>
      <c r="O29" s="175" t="s">
        <v>186</v>
      </c>
      <c r="P29" s="175" t="s">
        <v>187</v>
      </c>
    </row>
    <row r="30" spans="2:16" ht="12.75">
      <c r="B30" s="83" t="s">
        <v>168</v>
      </c>
      <c r="C30" s="99" t="s">
        <v>193</v>
      </c>
      <c r="D30" s="174">
        <f>D13/(1000*$C$22)</f>
        <v>0.07948</v>
      </c>
      <c r="E30" s="174">
        <f aca="true" t="shared" si="0" ref="E30:P30">E13/(1000*$C$22)</f>
        <v>0.067562</v>
      </c>
      <c r="F30" s="174">
        <f t="shared" si="0"/>
        <v>0.121825</v>
      </c>
      <c r="G30" s="174">
        <f t="shared" si="0"/>
        <v>0.077422</v>
      </c>
      <c r="H30" s="174">
        <f t="shared" si="0"/>
        <v>0.068243</v>
      </c>
      <c r="I30" s="174">
        <f t="shared" si="0"/>
        <v>0.013368000000000001</v>
      </c>
      <c r="J30" s="174">
        <f t="shared" si="0"/>
        <v>0.06666</v>
      </c>
      <c r="K30" s="174">
        <f t="shared" si="0"/>
        <v>0.104164</v>
      </c>
      <c r="L30" s="174">
        <f t="shared" si="0"/>
        <v>0.078154</v>
      </c>
      <c r="M30" s="174">
        <f t="shared" si="0"/>
        <v>0.079061</v>
      </c>
      <c r="N30" s="174">
        <f t="shared" si="0"/>
        <v>0.072</v>
      </c>
      <c r="O30" s="174">
        <f t="shared" si="0"/>
        <v>0.05930800000000001</v>
      </c>
      <c r="P30" s="174">
        <f t="shared" si="0"/>
        <v>0.062024</v>
      </c>
    </row>
    <row r="31" spans="2:16" ht="12.75">
      <c r="B31" s="83" t="s">
        <v>173</v>
      </c>
      <c r="C31" s="99" t="s">
        <v>193</v>
      </c>
      <c r="D31" s="174">
        <f>D14/($C$24*10000)</f>
        <v>0.06382136122064118</v>
      </c>
      <c r="E31" s="196">
        <v>0.07</v>
      </c>
      <c r="F31" s="174">
        <f aca="true" t="shared" si="1" ref="F31:P31">F14/($C$24*10000)</f>
        <v>0.10892851020058289</v>
      </c>
      <c r="G31" s="174">
        <f t="shared" si="1"/>
        <v>0.05601234356248929</v>
      </c>
      <c r="H31" s="196">
        <v>0.07</v>
      </c>
      <c r="I31" s="196">
        <v>0.07</v>
      </c>
      <c r="J31" s="174">
        <f t="shared" si="1"/>
        <v>0.10899365678038744</v>
      </c>
      <c r="K31" s="174">
        <f t="shared" si="1"/>
        <v>0.07355991770958341</v>
      </c>
      <c r="L31" s="196">
        <v>0.07</v>
      </c>
      <c r="M31" s="196">
        <v>0.07</v>
      </c>
      <c r="N31" s="174">
        <f t="shared" si="1"/>
        <v>0.062286987827875874</v>
      </c>
      <c r="O31" s="174">
        <f t="shared" si="1"/>
        <v>0.04454568832504714</v>
      </c>
      <c r="P31" s="174">
        <f t="shared" si="1"/>
        <v>0.04178553060174867</v>
      </c>
    </row>
    <row r="32" spans="2:16" ht="12.75">
      <c r="B32" s="83" t="s">
        <v>174</v>
      </c>
      <c r="C32" s="99" t="s">
        <v>193</v>
      </c>
      <c r="D32" s="174">
        <f>D15</f>
        <v>0.1613</v>
      </c>
      <c r="E32" s="196">
        <v>0.17</v>
      </c>
      <c r="F32" s="174">
        <f aca="true" t="shared" si="2" ref="F32:P32">F15</f>
        <v>0.2935</v>
      </c>
      <c r="G32" s="174">
        <f t="shared" si="2"/>
        <v>0.1365</v>
      </c>
      <c r="H32" s="174">
        <f t="shared" si="2"/>
        <v>0.1975</v>
      </c>
      <c r="I32" s="174">
        <f t="shared" si="2"/>
        <v>0.1995</v>
      </c>
      <c r="J32" s="174">
        <f t="shared" si="2"/>
        <v>0.1963</v>
      </c>
      <c r="K32" s="174">
        <f t="shared" si="2"/>
        <v>0.2443</v>
      </c>
      <c r="L32" s="174">
        <f t="shared" si="2"/>
        <v>0.12</v>
      </c>
      <c r="M32" s="174">
        <f t="shared" si="2"/>
        <v>0.1764</v>
      </c>
      <c r="N32" s="174">
        <f t="shared" si="2"/>
        <v>0.1535</v>
      </c>
      <c r="O32" s="174">
        <f t="shared" si="2"/>
        <v>0.158</v>
      </c>
      <c r="P32" s="174">
        <f t="shared" si="2"/>
        <v>0.0961</v>
      </c>
    </row>
    <row r="33" spans="2:16" ht="12.75">
      <c r="B33" s="83" t="s">
        <v>424</v>
      </c>
      <c r="C33" s="99" t="s">
        <v>193</v>
      </c>
      <c r="D33" s="175"/>
      <c r="E33" s="175"/>
      <c r="F33" s="175"/>
      <c r="G33" s="175"/>
      <c r="H33" s="175"/>
      <c r="I33" s="175"/>
      <c r="J33" s="175"/>
      <c r="K33" s="175"/>
      <c r="L33" s="175"/>
      <c r="M33" s="175"/>
      <c r="N33" s="175"/>
      <c r="O33" s="175"/>
      <c r="P33" s="175"/>
    </row>
    <row r="34" spans="2:16" ht="12.75">
      <c r="B34" s="83" t="s">
        <v>114</v>
      </c>
      <c r="C34" s="99" t="s">
        <v>193</v>
      </c>
      <c r="D34" s="175"/>
      <c r="E34" s="175"/>
      <c r="F34" s="175"/>
      <c r="G34" s="175"/>
      <c r="H34" s="175"/>
      <c r="I34" s="175"/>
      <c r="J34" s="175"/>
      <c r="K34" s="175"/>
      <c r="L34" s="175"/>
      <c r="M34" s="175"/>
      <c r="N34" s="175"/>
      <c r="O34" s="175"/>
      <c r="P34" s="175"/>
    </row>
    <row r="35" spans="4:15" ht="12.75">
      <c r="D35" t="s">
        <v>474</v>
      </c>
      <c r="E35" t="s">
        <v>474</v>
      </c>
      <c r="F35" t="s">
        <v>475</v>
      </c>
      <c r="G35" t="s">
        <v>474</v>
      </c>
      <c r="H35" t="s">
        <v>474</v>
      </c>
      <c r="I35" t="s">
        <v>474</v>
      </c>
      <c r="J35" t="s">
        <v>476</v>
      </c>
      <c r="K35" t="s">
        <v>474</v>
      </c>
      <c r="L35" t="s">
        <v>474</v>
      </c>
      <c r="M35" t="s">
        <v>474</v>
      </c>
      <c r="N35" t="s">
        <v>474</v>
      </c>
      <c r="O35" t="s">
        <v>477</v>
      </c>
    </row>
    <row r="36" spans="2:16" ht="12.75">
      <c r="B36" s="1" t="s">
        <v>425</v>
      </c>
      <c r="D36" s="158">
        <f>1/1.42</f>
        <v>0.7042253521126761</v>
      </c>
      <c r="E36" s="158">
        <f aca="true" t="shared" si="3" ref="E36:N36">1/1.42</f>
        <v>0.7042253521126761</v>
      </c>
      <c r="F36" s="158">
        <f>1/0.192</f>
        <v>5.208333333333333</v>
      </c>
      <c r="G36" s="158">
        <f t="shared" si="3"/>
        <v>0.7042253521126761</v>
      </c>
      <c r="H36" s="158">
        <f t="shared" si="3"/>
        <v>0.7042253521126761</v>
      </c>
      <c r="I36" s="158">
        <f t="shared" si="3"/>
        <v>0.7042253521126761</v>
      </c>
      <c r="J36" s="158">
        <f>1/0.0105</f>
        <v>95.23809523809523</v>
      </c>
      <c r="K36" s="158">
        <f t="shared" si="3"/>
        <v>0.7042253521126761</v>
      </c>
      <c r="L36" s="158">
        <f t="shared" si="3"/>
        <v>0.7042253521126761</v>
      </c>
      <c r="M36" s="158">
        <f t="shared" si="3"/>
        <v>0.7042253521126761</v>
      </c>
      <c r="N36" s="158">
        <f t="shared" si="3"/>
        <v>0.7042253521126761</v>
      </c>
      <c r="O36" s="158">
        <f>1/1.65</f>
        <v>0.6060606060606061</v>
      </c>
      <c r="P36" s="158">
        <v>1</v>
      </c>
    </row>
    <row r="39" spans="2:6" ht="15.75">
      <c r="B39" s="189" t="s">
        <v>451</v>
      </c>
      <c r="C39" s="6"/>
      <c r="D39" s="6"/>
      <c r="E39" s="6"/>
      <c r="F39" s="6"/>
    </row>
    <row r="40" spans="2:6" ht="12.75">
      <c r="B40" s="6"/>
      <c r="C40" s="6"/>
      <c r="D40" s="31" t="s">
        <v>120</v>
      </c>
      <c r="E40" s="32" t="s">
        <v>121</v>
      </c>
      <c r="F40" s="32"/>
    </row>
    <row r="41" spans="2:6" ht="12.75">
      <c r="B41" s="6"/>
      <c r="C41" s="6"/>
      <c r="D41" s="31" t="s">
        <v>452</v>
      </c>
      <c r="E41" s="32">
        <v>2007</v>
      </c>
      <c r="F41" s="32"/>
    </row>
    <row r="42" spans="2:6" ht="12.75">
      <c r="B42" s="8"/>
      <c r="C42" s="8"/>
      <c r="D42" s="31" t="s">
        <v>105</v>
      </c>
      <c r="E42" s="32" t="s">
        <v>106</v>
      </c>
      <c r="F42" s="32" t="s">
        <v>191</v>
      </c>
    </row>
    <row r="43" spans="2:6" ht="12.75">
      <c r="B43" s="6"/>
      <c r="C43" s="6"/>
      <c r="D43" s="26" t="s">
        <v>109</v>
      </c>
      <c r="E43" s="42">
        <f>7.25/(7.5*10.9)</f>
        <v>0.08868501529051988</v>
      </c>
      <c r="F43" s="42">
        <f>E43*7.5/6</f>
        <v>0.11085626911314984</v>
      </c>
    </row>
    <row r="44" spans="2:6" ht="12.75">
      <c r="B44" s="6"/>
      <c r="C44" s="6"/>
      <c r="D44" s="26" t="s">
        <v>108</v>
      </c>
      <c r="E44" s="42">
        <f>7/(7.5*11)</f>
        <v>0.08484848484848485</v>
      </c>
      <c r="F44" s="42">
        <f>E44*7.5/6</f>
        <v>0.10606060606060606</v>
      </c>
    </row>
    <row r="45" spans="2:6" ht="12.75">
      <c r="B45" s="6"/>
      <c r="C45" s="6"/>
      <c r="D45" s="26" t="s">
        <v>107</v>
      </c>
      <c r="E45" s="42">
        <f>1.72/7.5</f>
        <v>0.22933333333333333</v>
      </c>
      <c r="F45" s="42">
        <f>E45*7.5/6</f>
        <v>0.2866666666666667</v>
      </c>
    </row>
    <row r="46" spans="2:6" ht="12.75">
      <c r="B46" s="6"/>
      <c r="C46" s="6"/>
      <c r="D46" s="26" t="s">
        <v>124</v>
      </c>
      <c r="E46" s="42">
        <v>0.06</v>
      </c>
      <c r="F46" s="42">
        <f>E46*7.5/6</f>
        <v>0.075</v>
      </c>
    </row>
    <row r="47" spans="2:6" ht="12.75">
      <c r="B47" s="6"/>
      <c r="C47" s="6"/>
      <c r="D47" s="26" t="s">
        <v>110</v>
      </c>
      <c r="E47" s="33"/>
      <c r="F47" s="26"/>
    </row>
  </sheetData>
  <printOptions/>
  <pageMargins left="0.75" right="0.75" top="1" bottom="1" header="0" footer="0"/>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P8"/>
  <sheetViews>
    <sheetView workbookViewId="0" topLeftCell="A1">
      <selection activeCell="B22" sqref="B22"/>
    </sheetView>
  </sheetViews>
  <sheetFormatPr defaultColWidth="11.421875" defaultRowHeight="12.75"/>
  <cols>
    <col min="1" max="1" width="9.140625" style="0" customWidth="1"/>
    <col min="2" max="2" width="36.140625" style="0" bestFit="1" customWidth="1"/>
    <col min="3" max="3" width="7.28125" style="0" bestFit="1" customWidth="1"/>
    <col min="4" max="4" width="6.8515625" style="0" customWidth="1"/>
    <col min="5" max="5" width="7.7109375" style="0" customWidth="1"/>
    <col min="6" max="6" width="8.421875" style="0" customWidth="1"/>
    <col min="7" max="7" width="7.00390625" style="0" customWidth="1"/>
    <col min="8" max="8" width="8.57421875" style="0" customWidth="1"/>
    <col min="9" max="9" width="7.00390625" style="0" customWidth="1"/>
    <col min="10" max="10" width="8.00390625" style="0" customWidth="1"/>
    <col min="11" max="12" width="7.00390625" style="0" customWidth="1"/>
    <col min="13" max="13" width="7.8515625" style="0" customWidth="1"/>
    <col min="14" max="15" width="7.00390625" style="0" customWidth="1"/>
    <col min="16" max="16" width="8.00390625" style="0" customWidth="1"/>
    <col min="17" max="16384" width="9.140625" style="0" customWidth="1"/>
  </cols>
  <sheetData>
    <row r="1" ht="12.75">
      <c r="A1" t="s">
        <v>469</v>
      </c>
    </row>
    <row r="2" spans="2:14" ht="15.75">
      <c r="B2" s="83"/>
      <c r="C2" s="98" t="s">
        <v>455</v>
      </c>
      <c r="D2" s="98"/>
      <c r="E2" s="83"/>
      <c r="F2" s="83"/>
      <c r="G2" s="83"/>
      <c r="H2" s="81" t="s">
        <v>456</v>
      </c>
      <c r="I2" s="83"/>
      <c r="J2" s="83"/>
      <c r="K2" s="81"/>
      <c r="L2" s="81"/>
      <c r="M2" s="83"/>
      <c r="N2" s="83"/>
    </row>
    <row r="5" spans="2:16" ht="12.75">
      <c r="B5" s="5"/>
      <c r="C5" s="100" t="s">
        <v>171</v>
      </c>
      <c r="D5" s="5" t="s">
        <v>172</v>
      </c>
      <c r="E5" s="5" t="s">
        <v>176</v>
      </c>
      <c r="F5" s="5" t="s">
        <v>121</v>
      </c>
      <c r="G5" s="5" t="s">
        <v>178</v>
      </c>
      <c r="H5" s="5" t="s">
        <v>179</v>
      </c>
      <c r="I5" s="5" t="s">
        <v>180</v>
      </c>
      <c r="J5" s="5" t="s">
        <v>181</v>
      </c>
      <c r="K5" s="5" t="s">
        <v>182</v>
      </c>
      <c r="L5" s="5" t="s">
        <v>183</v>
      </c>
      <c r="M5" s="5" t="s">
        <v>184</v>
      </c>
      <c r="N5" s="5" t="s">
        <v>185</v>
      </c>
      <c r="O5" s="5" t="s">
        <v>186</v>
      </c>
      <c r="P5" s="5" t="s">
        <v>187</v>
      </c>
    </row>
    <row r="6" spans="2:16" ht="12.75">
      <c r="B6" s="5" t="s">
        <v>199</v>
      </c>
      <c r="C6" s="100" t="s">
        <v>200</v>
      </c>
      <c r="D6" s="5">
        <v>20.21</v>
      </c>
      <c r="E6" s="5">
        <v>10.42</v>
      </c>
      <c r="F6" s="5">
        <v>5.4</v>
      </c>
      <c r="G6" s="5">
        <v>62.18</v>
      </c>
      <c r="H6" s="5">
        <v>82.5</v>
      </c>
      <c r="I6" s="5">
        <v>58.13</v>
      </c>
      <c r="J6" s="5">
        <v>127.69</v>
      </c>
      <c r="K6" s="5">
        <v>16.27</v>
      </c>
      <c r="L6" s="5">
        <v>38.18</v>
      </c>
      <c r="M6" s="5">
        <v>10.52</v>
      </c>
      <c r="N6" s="5">
        <v>42.69</v>
      </c>
      <c r="O6" s="5">
        <v>59.84</v>
      </c>
      <c r="P6" s="5">
        <v>293.95</v>
      </c>
    </row>
    <row r="7" spans="2:16" ht="12.75">
      <c r="B7" s="5" t="s">
        <v>202</v>
      </c>
      <c r="C7" s="100" t="s">
        <v>201</v>
      </c>
      <c r="D7" s="5">
        <v>75.14</v>
      </c>
      <c r="E7" s="5">
        <v>116.05</v>
      </c>
      <c r="F7" s="5">
        <v>50.92</v>
      </c>
      <c r="G7" s="5">
        <v>386.92</v>
      </c>
      <c r="H7" s="5">
        <v>848.6</v>
      </c>
      <c r="I7" s="5">
        <v>462.32</v>
      </c>
      <c r="J7" s="5">
        <v>1214.99</v>
      </c>
      <c r="K7" s="5">
        <v>185.75</v>
      </c>
      <c r="L7" s="5">
        <v>296.08</v>
      </c>
      <c r="M7" s="5">
        <v>60.33</v>
      </c>
      <c r="N7" s="5">
        <v>329.77</v>
      </c>
      <c r="O7" s="5">
        <v>537.05</v>
      </c>
      <c r="P7" s="5">
        <v>5799.97</v>
      </c>
    </row>
    <row r="8" spans="2:16" ht="12.75">
      <c r="B8" s="5" t="s">
        <v>204</v>
      </c>
      <c r="C8" s="100" t="s">
        <v>205</v>
      </c>
      <c r="D8" s="5">
        <v>64.17</v>
      </c>
      <c r="E8" s="5">
        <v>89.37</v>
      </c>
      <c r="F8" s="5">
        <v>35.82</v>
      </c>
      <c r="G8" s="5">
        <v>478.1</v>
      </c>
      <c r="H8" s="5">
        <v>579.98</v>
      </c>
      <c r="I8" s="5">
        <v>328.11</v>
      </c>
      <c r="J8" s="5">
        <v>1031.26</v>
      </c>
      <c r="K8" s="5">
        <v>112.26</v>
      </c>
      <c r="L8" s="5">
        <v>130.51</v>
      </c>
      <c r="M8" s="5">
        <v>47.53</v>
      </c>
      <c r="N8" s="5">
        <v>252.91</v>
      </c>
      <c r="O8" s="5">
        <v>371.31</v>
      </c>
      <c r="P8" s="5">
        <v>3920.61</v>
      </c>
    </row>
  </sheetData>
  <printOptions/>
  <pageMargins left="0.75" right="0.75" top="1" bottom="1"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P7"/>
  <sheetViews>
    <sheetView workbookViewId="0" topLeftCell="A1">
      <selection activeCell="C21" sqref="C21"/>
    </sheetView>
  </sheetViews>
  <sheetFormatPr defaultColWidth="11.421875" defaultRowHeight="12.75"/>
  <cols>
    <col min="1" max="1" width="9.140625" style="0" customWidth="1"/>
    <col min="2" max="2" width="36.140625" style="0" bestFit="1" customWidth="1"/>
    <col min="3" max="3" width="7.28125" style="0" bestFit="1" customWidth="1"/>
    <col min="4" max="4" width="6.8515625" style="0" customWidth="1"/>
    <col min="5" max="5" width="7.7109375" style="0" customWidth="1"/>
    <col min="6" max="6" width="8.421875" style="0" customWidth="1"/>
    <col min="7" max="7" width="7.00390625" style="0" customWidth="1"/>
    <col min="8" max="8" width="8.57421875" style="0" customWidth="1"/>
    <col min="9" max="9" width="7.00390625" style="0" customWidth="1"/>
    <col min="10" max="10" width="8.00390625" style="0" customWidth="1"/>
    <col min="11" max="12" width="7.00390625" style="0" customWidth="1"/>
    <col min="13" max="13" width="7.8515625" style="0" customWidth="1"/>
    <col min="14" max="15" width="7.00390625" style="0" customWidth="1"/>
    <col min="16" max="16" width="8.00390625" style="0" customWidth="1"/>
    <col min="17" max="16384" width="9.140625" style="0" customWidth="1"/>
  </cols>
  <sheetData>
    <row r="1" ht="12.75">
      <c r="A1" t="s">
        <v>470</v>
      </c>
    </row>
    <row r="2" spans="2:16" ht="12.75">
      <c r="B2" s="127" t="s">
        <v>297</v>
      </c>
      <c r="C2" s="120"/>
      <c r="D2" s="120"/>
      <c r="E2" s="120"/>
      <c r="F2" s="120"/>
      <c r="G2" s="120"/>
      <c r="H2" s="120"/>
      <c r="I2" s="120"/>
      <c r="J2" s="120"/>
      <c r="K2" s="120"/>
      <c r="L2" s="120"/>
      <c r="M2" s="120"/>
      <c r="N2" s="120"/>
      <c r="O2" s="120"/>
      <c r="P2" s="120"/>
    </row>
    <row r="3" spans="2:16" ht="12.75">
      <c r="B3" s="120" t="s">
        <v>293</v>
      </c>
      <c r="C3" s="127" t="s">
        <v>292</v>
      </c>
      <c r="D3" s="120"/>
      <c r="E3" s="120"/>
      <c r="F3" s="120">
        <v>4</v>
      </c>
      <c r="G3" s="120">
        <v>4</v>
      </c>
      <c r="H3" s="120">
        <v>4</v>
      </c>
      <c r="I3" s="120">
        <v>4</v>
      </c>
      <c r="J3" s="120"/>
      <c r="K3" s="120">
        <v>4</v>
      </c>
      <c r="L3" s="120"/>
      <c r="M3" s="120">
        <v>4</v>
      </c>
      <c r="N3" s="120">
        <v>4</v>
      </c>
      <c r="O3" s="120">
        <v>4</v>
      </c>
      <c r="P3" s="120"/>
    </row>
    <row r="4" spans="2:16" ht="12.75">
      <c r="B4" s="120" t="s">
        <v>294</v>
      </c>
      <c r="C4" s="127">
        <v>1000</v>
      </c>
      <c r="D4" s="120"/>
      <c r="E4" s="120"/>
      <c r="F4" s="120">
        <f>'2 Appliances Market'!F21</f>
        <v>741</v>
      </c>
      <c r="G4" s="120">
        <f>'2 Appliances Market'!G21</f>
        <v>13846</v>
      </c>
      <c r="H4" s="120">
        <f>'2 Appliances Market'!H21</f>
        <v>17670</v>
      </c>
      <c r="I4" s="120">
        <f>'2 Appliances Market'!I21</f>
        <v>15245</v>
      </c>
      <c r="J4" s="120"/>
      <c r="K4" s="120">
        <f>'2 Appliances Market'!K21</f>
        <v>5098</v>
      </c>
      <c r="L4" s="120"/>
      <c r="M4" s="120">
        <f>'2 Appliances Market'!U21</f>
        <v>245</v>
      </c>
      <c r="N4" s="120">
        <f>'2 Appliances Market'!N21</f>
        <v>6065</v>
      </c>
      <c r="O4" s="120">
        <f>'2 Appliances Market'!P21</f>
        <v>21777</v>
      </c>
      <c r="P4" s="120"/>
    </row>
    <row r="5" spans="2:16" ht="12.75">
      <c r="B5" s="120" t="s">
        <v>291</v>
      </c>
      <c r="C5" s="120" t="s">
        <v>292</v>
      </c>
      <c r="D5" s="120"/>
      <c r="E5" s="120"/>
      <c r="F5" s="120">
        <f>F4*F3*1000</f>
        <v>2964000</v>
      </c>
      <c r="G5" s="120">
        <f>G4*G3*1000</f>
        <v>55384000</v>
      </c>
      <c r="H5" s="120">
        <f>H4*H3*1000</f>
        <v>70680000</v>
      </c>
      <c r="I5" s="120">
        <f>I4*I3*1000</f>
        <v>60980000</v>
      </c>
      <c r="J5" s="120"/>
      <c r="K5" s="120">
        <f>K4*K3*1000</f>
        <v>20392000</v>
      </c>
      <c r="L5" s="120"/>
      <c r="M5" s="120">
        <f>M4*M3*1000</f>
        <v>980000</v>
      </c>
      <c r="N5" s="120">
        <f>N4*N3*1000</f>
        <v>24260000</v>
      </c>
      <c r="O5" s="120">
        <f>O4*O3*1000</f>
        <v>87108000</v>
      </c>
      <c r="P5" s="120"/>
    </row>
    <row r="6" spans="2:16" ht="12.75">
      <c r="B6" s="120" t="s">
        <v>291</v>
      </c>
      <c r="C6" s="120" t="s">
        <v>201</v>
      </c>
      <c r="D6" s="120"/>
      <c r="E6" s="120"/>
      <c r="F6" s="120">
        <f>F5/1000000</f>
        <v>2.964</v>
      </c>
      <c r="G6" s="120">
        <f>G5/1000000</f>
        <v>55.384</v>
      </c>
      <c r="H6" s="120">
        <f>H5/1000000</f>
        <v>70.68</v>
      </c>
      <c r="I6" s="120">
        <f>I5/1000000</f>
        <v>60.98</v>
      </c>
      <c r="J6" s="120"/>
      <c r="K6" s="120">
        <f>K5/1000000</f>
        <v>20.392</v>
      </c>
      <c r="L6" s="120"/>
      <c r="M6" s="120">
        <f>M5/1000000</f>
        <v>0.98</v>
      </c>
      <c r="N6" s="120">
        <f>N5/1000000</f>
        <v>24.26</v>
      </c>
      <c r="O6" s="120">
        <f>O5/1000000</f>
        <v>87.108</v>
      </c>
      <c r="P6" s="120"/>
    </row>
    <row r="7" spans="2:16" ht="12.75">
      <c r="B7" s="120" t="s">
        <v>295</v>
      </c>
      <c r="C7" s="120" t="s">
        <v>73</v>
      </c>
      <c r="D7" s="120"/>
      <c r="E7" s="120"/>
      <c r="F7" s="128">
        <f>100*F6/'6 Total CO2 by country'!F7</f>
        <v>5.820895522388059</v>
      </c>
      <c r="G7" s="128">
        <f>100*G6/'6 Total CO2 by country'!G7</f>
        <v>14.314070092008683</v>
      </c>
      <c r="H7" s="128">
        <f>100*H6/'6 Total CO2 by country'!H7</f>
        <v>8.329012491161915</v>
      </c>
      <c r="I7" s="128">
        <f>100*I6/'6 Total CO2 by country'!I7</f>
        <v>13.189998269596817</v>
      </c>
      <c r="J7" s="128"/>
      <c r="K7" s="128">
        <f>100*K6/'6 Total CO2 by country'!K7</f>
        <v>10.978196500672947</v>
      </c>
      <c r="L7" s="128"/>
      <c r="M7" s="128">
        <f>100*M6/'6 Total CO2 by country'!M7</f>
        <v>1.6243991380739269</v>
      </c>
      <c r="N7" s="128">
        <f>100*N6/'6 Total CO2 by country'!N7</f>
        <v>7.356642508414956</v>
      </c>
      <c r="O7" s="128">
        <f>100*O6/'6 Total CO2 by country'!O7</f>
        <v>16.219718834372966</v>
      </c>
      <c r="P7" s="120"/>
    </row>
  </sheetData>
  <printOptions/>
  <pageMargins left="0.75" right="0.75" top="1" bottom="1"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B17"/>
  <sheetViews>
    <sheetView workbookViewId="0" topLeftCell="A1">
      <selection activeCell="F10" sqref="F10:Z10"/>
    </sheetView>
  </sheetViews>
  <sheetFormatPr defaultColWidth="11.421875" defaultRowHeight="12.75"/>
  <cols>
    <col min="1" max="4" width="9.140625" style="0" customWidth="1"/>
    <col min="5" max="5" width="10.421875" style="0" bestFit="1" customWidth="1"/>
    <col min="6" max="25" width="10.421875" style="0" customWidth="1"/>
    <col min="26" max="26" width="10.421875" style="0" bestFit="1" customWidth="1"/>
    <col min="27" max="16384" width="9.140625" style="0" customWidth="1"/>
  </cols>
  <sheetData>
    <row r="1" spans="1:3" ht="12.75">
      <c r="A1" t="s">
        <v>471</v>
      </c>
      <c r="C1" t="s">
        <v>472</v>
      </c>
    </row>
    <row r="2" ht="18">
      <c r="C2" s="4"/>
    </row>
    <row r="3" ht="18">
      <c r="C3" s="4"/>
    </row>
    <row r="4" ht="18">
      <c r="C4" s="4"/>
    </row>
    <row r="5" spans="6:27" ht="174">
      <c r="F5" s="87" t="str">
        <f>'1 Data'!F5</f>
        <v> - Atmospheric boiler non modulating</v>
      </c>
      <c r="G5" s="87" t="str">
        <f>'1 Data'!G5</f>
        <v> - Atmospheric boiler modulating</v>
      </c>
      <c r="H5" s="87" t="str">
        <f>'1 Data'!H5</f>
        <v> - Traditional flue balanced non modulating</v>
      </c>
      <c r="I5" s="87" t="str">
        <f>'1 Data'!I5</f>
        <v> - Traditional flue balanced modulating</v>
      </c>
      <c r="J5" s="87" t="str">
        <f>'1 Data'!J5</f>
        <v> - Condensing flue balanced non modulating</v>
      </c>
      <c r="K5" s="87" t="str">
        <f>'1 Data'!K5</f>
        <v> - Condensing flue balanced modulating</v>
      </c>
      <c r="L5" s="87" t="str">
        <f>'1 Data'!L5</f>
        <v>Other gas appliances</v>
      </c>
      <c r="M5" s="87" t="str">
        <f>'1 Data'!M5</f>
        <v> - Gas Radiator (flue less)</v>
      </c>
      <c r="N5" s="87" t="str">
        <f>'1 Data'!N5</f>
        <v> - Gas Radiator (flued)</v>
      </c>
      <c r="O5" s="87" t="str">
        <f>'1 Data'!O5</f>
        <v> - Gas heat pumps</v>
      </c>
      <c r="P5" s="87" t="str">
        <f>'1 Data'!P5</f>
        <v> - Micro CHP stearling</v>
      </c>
      <c r="Q5" s="87" t="str">
        <f>'1 Data'!Q5</f>
        <v> - Micro CHP fuel cells</v>
      </c>
      <c r="R5" s="87" t="str">
        <f>'1 Data'!R5</f>
        <v> - Traditional boiler</v>
      </c>
      <c r="S5" s="87" t="str">
        <f>'1 Data'!S5</f>
        <v> - Condensing boiler</v>
      </c>
      <c r="T5" s="87" t="str">
        <f>'1 Data'!T5</f>
        <v> - Fuel oil radiators</v>
      </c>
      <c r="U5" s="87" t="str">
        <f>'1 Data'!U5</f>
        <v> - El Boiler</v>
      </c>
      <c r="V5" s="87" t="str">
        <f>'1 Data'!V5</f>
        <v> - El radiators</v>
      </c>
      <c r="W5" s="87" t="str">
        <f>'1 Data'!W5</f>
        <v> - Wood Boiler with ventilator</v>
      </c>
      <c r="X5" s="87" t="str">
        <f>'1 Data'!X5</f>
        <v> - Wood Boiler without ventilator</v>
      </c>
      <c r="Y5" s="87" t="str">
        <f>'1 Data'!Y5</f>
        <v> - Wood - other</v>
      </c>
      <c r="Z5" s="87" t="str">
        <f>'1 Data'!Z5</f>
        <v> - Domestic heat exchanger</v>
      </c>
      <c r="AA5" s="39"/>
    </row>
    <row r="6" spans="1:26" ht="12.75">
      <c r="A6" s="1" t="s">
        <v>127</v>
      </c>
      <c r="E6" t="s">
        <v>125</v>
      </c>
      <c r="F6" s="86">
        <f>'1 Data'!F13</f>
        <v>84</v>
      </c>
      <c r="G6" s="86">
        <f>'1 Data'!G13</f>
        <v>86</v>
      </c>
      <c r="H6" s="86">
        <f>'1 Data'!H13</f>
        <v>90</v>
      </c>
      <c r="I6" s="86">
        <f>'1 Data'!I13</f>
        <v>90</v>
      </c>
      <c r="J6" s="86">
        <f>'1 Data'!J13</f>
        <v>96</v>
      </c>
      <c r="K6" s="86">
        <f>'1 Data'!K13</f>
        <v>97</v>
      </c>
      <c r="L6" s="86">
        <f>'1 Data'!L13</f>
        <v>97</v>
      </c>
      <c r="M6" s="86">
        <f>'1 Data'!M13</f>
        <v>95</v>
      </c>
      <c r="N6" s="86">
        <f>'1 Data'!N13</f>
        <v>90</v>
      </c>
      <c r="O6" s="86">
        <f>'1 Data'!O13</f>
        <v>100</v>
      </c>
      <c r="P6" s="86">
        <f>'1 Data'!P13</f>
        <v>30</v>
      </c>
      <c r="Q6" s="86">
        <f>'1 Data'!Q13</f>
        <v>30</v>
      </c>
      <c r="R6" s="86">
        <f>'1 Data'!R13</f>
        <v>90</v>
      </c>
      <c r="S6" s="86">
        <f>'1 Data'!S13</f>
        <v>95</v>
      </c>
      <c r="T6" s="86">
        <f>'1 Data'!T13</f>
        <v>0</v>
      </c>
      <c r="U6" s="5">
        <f>'1 Data'!U19</f>
        <v>97</v>
      </c>
      <c r="V6" s="5">
        <f>'1 Data'!V19</f>
        <v>98</v>
      </c>
      <c r="W6" s="86">
        <f>'1 Data'!W13</f>
        <v>80</v>
      </c>
      <c r="X6" s="86">
        <f>'1 Data'!X13</f>
        <v>85</v>
      </c>
      <c r="Y6" s="86">
        <f>'1 Data'!Y13</f>
        <v>0</v>
      </c>
      <c r="Z6" s="86">
        <f>'1 Data'!Z13</f>
        <v>0</v>
      </c>
    </row>
    <row r="7" spans="1:26" ht="12.75">
      <c r="A7" s="2" t="s">
        <v>133</v>
      </c>
      <c r="E7" s="201" t="s">
        <v>126</v>
      </c>
      <c r="F7" s="202">
        <f>'1 Data'!F12</f>
        <v>82</v>
      </c>
      <c r="G7" s="202">
        <f>'1 Data'!G12</f>
        <v>84</v>
      </c>
      <c r="H7" s="202">
        <f>'1 Data'!H12</f>
        <v>88</v>
      </c>
      <c r="I7" s="202">
        <f>'1 Data'!I12</f>
        <v>89</v>
      </c>
      <c r="J7" s="202">
        <f>'1 Data'!J12</f>
        <v>92</v>
      </c>
      <c r="K7" s="202">
        <f>'1 Data'!K12</f>
        <v>92</v>
      </c>
      <c r="L7" s="202">
        <f>'1 Data'!L12</f>
        <v>92</v>
      </c>
      <c r="M7" s="202">
        <f>'1 Data'!M12</f>
        <v>95</v>
      </c>
      <c r="N7" s="202">
        <f>'1 Data'!N12</f>
        <v>90</v>
      </c>
      <c r="O7" s="202">
        <f>'1 Data'!O12</f>
        <v>100</v>
      </c>
      <c r="P7" s="202">
        <f>'1 Data'!P12</f>
        <v>30</v>
      </c>
      <c r="Q7" s="202">
        <f>'1 Data'!Q12</f>
        <v>30</v>
      </c>
      <c r="R7" s="202">
        <f>'1 Data'!R12</f>
        <v>88</v>
      </c>
      <c r="S7" s="202">
        <f>'1 Data'!S12</f>
        <v>92</v>
      </c>
      <c r="T7" s="202">
        <f>'1 Data'!T12</f>
        <v>0</v>
      </c>
      <c r="U7" s="203">
        <f>'1 Data'!U18</f>
        <v>95</v>
      </c>
      <c r="V7" s="203">
        <f>'1 Data'!V18</f>
        <v>95</v>
      </c>
      <c r="W7" s="202">
        <f>'1 Data'!W12</f>
        <v>70</v>
      </c>
      <c r="X7" s="202">
        <f>'1 Data'!X12</f>
        <v>80</v>
      </c>
      <c r="Y7" s="202">
        <f>'1 Data'!Y12</f>
        <v>0</v>
      </c>
      <c r="Z7" s="202">
        <f>'1 Data'!Z12</f>
        <v>0</v>
      </c>
    </row>
    <row r="8" spans="1:26" ht="12.75">
      <c r="A8" s="2" t="s">
        <v>134</v>
      </c>
      <c r="E8" s="201" t="s">
        <v>128</v>
      </c>
      <c r="F8" s="201">
        <f aca="true" t="shared" si="0" ref="F8:Z8">F6-F7</f>
        <v>2</v>
      </c>
      <c r="G8" s="201">
        <f t="shared" si="0"/>
        <v>2</v>
      </c>
      <c r="H8" s="201">
        <f t="shared" si="0"/>
        <v>2</v>
      </c>
      <c r="I8" s="201">
        <f t="shared" si="0"/>
        <v>1</v>
      </c>
      <c r="J8" s="201">
        <f t="shared" si="0"/>
        <v>4</v>
      </c>
      <c r="K8" s="201">
        <f t="shared" si="0"/>
        <v>5</v>
      </c>
      <c r="L8" s="201">
        <f t="shared" si="0"/>
        <v>5</v>
      </c>
      <c r="M8" s="201">
        <f t="shared" si="0"/>
        <v>0</v>
      </c>
      <c r="N8" s="201">
        <f t="shared" si="0"/>
        <v>0</v>
      </c>
      <c r="O8" s="201">
        <f t="shared" si="0"/>
        <v>0</v>
      </c>
      <c r="P8" s="201">
        <f t="shared" si="0"/>
        <v>0</v>
      </c>
      <c r="Q8" s="201">
        <f t="shared" si="0"/>
        <v>0</v>
      </c>
      <c r="R8" s="201">
        <f t="shared" si="0"/>
        <v>2</v>
      </c>
      <c r="S8" s="201">
        <f t="shared" si="0"/>
        <v>3</v>
      </c>
      <c r="T8" s="201">
        <f t="shared" si="0"/>
        <v>0</v>
      </c>
      <c r="U8" s="201">
        <f t="shared" si="0"/>
        <v>2</v>
      </c>
      <c r="V8" s="201">
        <f t="shared" si="0"/>
        <v>3</v>
      </c>
      <c r="W8" s="201">
        <f t="shared" si="0"/>
        <v>10</v>
      </c>
      <c r="X8" s="201">
        <f t="shared" si="0"/>
        <v>5</v>
      </c>
      <c r="Y8" s="201">
        <f t="shared" si="0"/>
        <v>0</v>
      </c>
      <c r="Z8" s="201">
        <f t="shared" si="0"/>
        <v>0</v>
      </c>
    </row>
    <row r="9" spans="1:26" ht="12.75">
      <c r="A9" s="2" t="s">
        <v>135</v>
      </c>
      <c r="E9" s="201" t="s">
        <v>129</v>
      </c>
      <c r="F9" s="204">
        <f aca="true" t="shared" si="1" ref="F9:Z9">100*F8/((F7+F6)/2)</f>
        <v>2.4096385542168677</v>
      </c>
      <c r="G9" s="204">
        <f t="shared" si="1"/>
        <v>2.3529411764705883</v>
      </c>
      <c r="H9" s="204">
        <f t="shared" si="1"/>
        <v>2.247191011235955</v>
      </c>
      <c r="I9" s="204">
        <f t="shared" si="1"/>
        <v>1.1173184357541899</v>
      </c>
      <c r="J9" s="204">
        <f t="shared" si="1"/>
        <v>4.25531914893617</v>
      </c>
      <c r="K9" s="204">
        <f t="shared" si="1"/>
        <v>5.291005291005291</v>
      </c>
      <c r="L9" s="204">
        <f t="shared" si="1"/>
        <v>5.291005291005291</v>
      </c>
      <c r="M9" s="204">
        <f t="shared" si="1"/>
        <v>0</v>
      </c>
      <c r="N9" s="204">
        <f t="shared" si="1"/>
        <v>0</v>
      </c>
      <c r="O9" s="204">
        <f t="shared" si="1"/>
        <v>0</v>
      </c>
      <c r="P9" s="204">
        <f t="shared" si="1"/>
        <v>0</v>
      </c>
      <c r="Q9" s="204">
        <f t="shared" si="1"/>
        <v>0</v>
      </c>
      <c r="R9" s="204">
        <f t="shared" si="1"/>
        <v>2.247191011235955</v>
      </c>
      <c r="S9" s="204">
        <f t="shared" si="1"/>
        <v>3.2085561497326203</v>
      </c>
      <c r="T9" s="204" t="e">
        <f t="shared" si="1"/>
        <v>#DIV/0!</v>
      </c>
      <c r="U9" s="204">
        <f t="shared" si="1"/>
        <v>2.0833333333333335</v>
      </c>
      <c r="V9" s="204">
        <f t="shared" si="1"/>
        <v>3.1088082901554404</v>
      </c>
      <c r="W9" s="204">
        <f t="shared" si="1"/>
        <v>13.333333333333334</v>
      </c>
      <c r="X9" s="204">
        <f t="shared" si="1"/>
        <v>6.0606060606060606</v>
      </c>
      <c r="Y9" s="204" t="e">
        <f t="shared" si="1"/>
        <v>#DIV/0!</v>
      </c>
      <c r="Z9" s="204" t="e">
        <f t="shared" si="1"/>
        <v>#DIV/0!</v>
      </c>
    </row>
    <row r="10" spans="1:26" ht="12.75">
      <c r="A10" s="1" t="s">
        <v>130</v>
      </c>
      <c r="E10" s="201" t="e">
        <f>'1 Data'!#REF!</f>
        <v>#REF!</v>
      </c>
      <c r="F10" s="205">
        <f>'1 Data'!F86</f>
        <v>23076.92307692308</v>
      </c>
      <c r="G10" s="205">
        <f>'1 Data'!G86</f>
        <v>22556.390977443607</v>
      </c>
      <c r="H10" s="205">
        <f>'1 Data'!H86</f>
        <v>21660.649819494585</v>
      </c>
      <c r="I10" s="205">
        <f>'1 Data'!I86</f>
        <v>21164.021164021164</v>
      </c>
      <c r="J10" s="205">
        <f>'1 Data'!J86</f>
        <v>20270.27027027027</v>
      </c>
      <c r="K10" s="205">
        <f>'1 Data'!K86</f>
        <v>20168.067226890755</v>
      </c>
      <c r="L10" s="205">
        <f>'1 Data'!L86</f>
        <v>0</v>
      </c>
      <c r="M10" s="205">
        <f>'1 Data'!M86</f>
        <v>21052.631578947367</v>
      </c>
      <c r="N10" s="205">
        <f>'1 Data'!N86</f>
        <v>22222.222222222223</v>
      </c>
      <c r="O10" s="205">
        <f>'1 Data'!O86</f>
        <v>0</v>
      </c>
      <c r="P10" s="205">
        <f>'1 Data'!P86</f>
        <v>0</v>
      </c>
      <c r="Q10" s="205">
        <f>'1 Data'!Q86</f>
        <v>0</v>
      </c>
      <c r="R10" s="205">
        <f>'1 Data'!R86</f>
        <v>21660.649819494585</v>
      </c>
      <c r="S10" s="205">
        <f>'1 Data'!S86</f>
        <v>20979.020979020977</v>
      </c>
      <c r="T10" s="205">
        <f>'1 Data'!T86</f>
        <v>0</v>
      </c>
      <c r="U10" s="205">
        <f>'1 Data'!U86</f>
        <v>20833.333333333336</v>
      </c>
      <c r="V10" s="205">
        <f>'1 Data'!V86</f>
        <v>20725.38860103627</v>
      </c>
      <c r="W10" s="205">
        <f>'1 Data'!W86</f>
        <v>25641.02564102564</v>
      </c>
      <c r="X10" s="205">
        <f>'1 Data'!X86</f>
        <v>23391.812865497075</v>
      </c>
      <c r="Y10" s="205">
        <f>'1 Data'!Y86</f>
        <v>0</v>
      </c>
      <c r="Z10" s="205">
        <f>'1 Data'!Z86</f>
        <v>0</v>
      </c>
    </row>
    <row r="11" spans="5:26" ht="12.75">
      <c r="E11" s="201" t="s">
        <v>131</v>
      </c>
      <c r="F11" s="201">
        <f aca="true" t="shared" si="2" ref="F11:Z11">F10+F9*F10/200</f>
        <v>23354.958294717337</v>
      </c>
      <c r="G11" s="201">
        <f t="shared" si="2"/>
        <v>22821.76028306059</v>
      </c>
      <c r="H11" s="201">
        <f t="shared" si="2"/>
        <v>21904.027907354073</v>
      </c>
      <c r="I11" s="201">
        <f t="shared" si="2"/>
        <v>21282.255919127427</v>
      </c>
      <c r="J11" s="201">
        <f t="shared" si="2"/>
        <v>20701.55261644623</v>
      </c>
      <c r="K11" s="201">
        <f t="shared" si="2"/>
        <v>20701.613978924903</v>
      </c>
      <c r="L11" s="201">
        <f t="shared" si="2"/>
        <v>0</v>
      </c>
      <c r="M11" s="201">
        <f t="shared" si="2"/>
        <v>21052.631578947367</v>
      </c>
      <c r="N11" s="201">
        <f t="shared" si="2"/>
        <v>22222.222222222223</v>
      </c>
      <c r="O11" s="201">
        <f t="shared" si="2"/>
        <v>0</v>
      </c>
      <c r="P11" s="201">
        <f t="shared" si="2"/>
        <v>0</v>
      </c>
      <c r="Q11" s="201">
        <f t="shared" si="2"/>
        <v>0</v>
      </c>
      <c r="R11" s="201">
        <f t="shared" si="2"/>
        <v>21904.027907354073</v>
      </c>
      <c r="S11" s="201">
        <f t="shared" si="2"/>
        <v>21315.582812909015</v>
      </c>
      <c r="T11" s="201" t="e">
        <f t="shared" si="2"/>
        <v>#DIV/0!</v>
      </c>
      <c r="U11" s="201">
        <f t="shared" si="2"/>
        <v>21050.347222222226</v>
      </c>
      <c r="V11" s="201">
        <f t="shared" si="2"/>
        <v>21047.54490053424</v>
      </c>
      <c r="W11" s="201">
        <f t="shared" si="2"/>
        <v>27350.42735042735</v>
      </c>
      <c r="X11" s="201">
        <f t="shared" si="2"/>
        <v>24100.655679603045</v>
      </c>
      <c r="Y11" s="201" t="e">
        <f t="shared" si="2"/>
        <v>#DIV/0!</v>
      </c>
      <c r="Z11" s="201" t="e">
        <f t="shared" si="2"/>
        <v>#DIV/0!</v>
      </c>
    </row>
    <row r="12" spans="5:26" ht="12.75">
      <c r="E12" s="201" t="s">
        <v>132</v>
      </c>
      <c r="F12" s="201">
        <f aca="true" t="shared" si="3" ref="F12:O12">F10-F9/200</f>
        <v>23076.911028730312</v>
      </c>
      <c r="G12" s="201">
        <f t="shared" si="3"/>
        <v>22556.379212737724</v>
      </c>
      <c r="H12" s="201">
        <f t="shared" si="3"/>
        <v>21660.63858353953</v>
      </c>
      <c r="I12" s="201">
        <f t="shared" si="3"/>
        <v>21164.015577428985</v>
      </c>
      <c r="J12" s="201">
        <f t="shared" si="3"/>
        <v>20270.248993674526</v>
      </c>
      <c r="K12" s="201">
        <f t="shared" si="3"/>
        <v>20168.0407718643</v>
      </c>
      <c r="L12" s="201">
        <f t="shared" si="3"/>
        <v>-0.026455026455026457</v>
      </c>
      <c r="M12" s="201">
        <f t="shared" si="3"/>
        <v>21052.631578947367</v>
      </c>
      <c r="N12" s="201">
        <f t="shared" si="3"/>
        <v>22222.222222222223</v>
      </c>
      <c r="O12" s="201">
        <f t="shared" si="3"/>
        <v>0</v>
      </c>
      <c r="P12" s="201">
        <f aca="true" t="shared" si="4" ref="P12:Z12">P10-P9/200</f>
        <v>0</v>
      </c>
      <c r="Q12" s="201">
        <f t="shared" si="4"/>
        <v>0</v>
      </c>
      <c r="R12" s="201">
        <f t="shared" si="4"/>
        <v>21660.63858353953</v>
      </c>
      <c r="S12" s="201">
        <f t="shared" si="4"/>
        <v>20979.004936240228</v>
      </c>
      <c r="T12" s="201" t="e">
        <f t="shared" si="4"/>
        <v>#DIV/0!</v>
      </c>
      <c r="U12" s="201">
        <f t="shared" si="4"/>
        <v>20833.322916666668</v>
      </c>
      <c r="V12" s="201">
        <f t="shared" si="4"/>
        <v>20725.37305699482</v>
      </c>
      <c r="W12" s="201">
        <f t="shared" si="4"/>
        <v>25640.958974358975</v>
      </c>
      <c r="X12" s="201">
        <f t="shared" si="4"/>
        <v>23391.78256246677</v>
      </c>
      <c r="Y12" s="201" t="e">
        <f t="shared" si="4"/>
        <v>#DIV/0!</v>
      </c>
      <c r="Z12" s="201" t="e">
        <f t="shared" si="4"/>
        <v>#DIV/0!</v>
      </c>
    </row>
    <row r="17" ht="12.75">
      <c r="AB17" t="s">
        <v>146</v>
      </c>
    </row>
  </sheetData>
  <printOptions/>
  <pageMargins left="0.75" right="0.75" top="1" bottom="1" header="0" footer="0"/>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P62"/>
  <sheetViews>
    <sheetView showGridLines="0" tabSelected="1" workbookViewId="0" topLeftCell="A1">
      <selection activeCell="O15" sqref="O15"/>
    </sheetView>
  </sheetViews>
  <sheetFormatPr defaultColWidth="11.421875" defaultRowHeight="12.75"/>
  <cols>
    <col min="1" max="1" width="27.28125" style="0" customWidth="1"/>
    <col min="2" max="16384" width="9.140625" style="0" customWidth="1"/>
  </cols>
  <sheetData>
    <row r="1" spans="1:13" ht="20.25">
      <c r="A1" s="218" t="s">
        <v>516</v>
      </c>
      <c r="B1" s="219"/>
      <c r="C1" s="219"/>
      <c r="D1" s="219"/>
      <c r="E1" s="219"/>
      <c r="F1" s="126" t="s">
        <v>444</v>
      </c>
      <c r="I1" s="212" t="s">
        <v>531</v>
      </c>
      <c r="J1" s="183"/>
      <c r="K1" s="183"/>
      <c r="L1" s="183"/>
      <c r="M1" s="183"/>
    </row>
    <row r="2" spans="1:14" ht="20.25">
      <c r="A2" s="78" t="s">
        <v>546</v>
      </c>
      <c r="B2" s="211"/>
      <c r="C2" s="211"/>
      <c r="D2" s="211"/>
      <c r="E2" s="211"/>
      <c r="F2" s="213"/>
      <c r="G2" s="9"/>
      <c r="H2" s="9"/>
      <c r="I2" s="78"/>
      <c r="J2" s="9"/>
      <c r="K2" s="9"/>
      <c r="L2" s="9"/>
      <c r="M2" s="9"/>
      <c r="N2" s="9"/>
    </row>
    <row r="3" spans="1:16" ht="18" customHeight="1">
      <c r="A3" s="157" t="s">
        <v>120</v>
      </c>
      <c r="B3" s="149">
        <v>12</v>
      </c>
      <c r="C3" s="155"/>
      <c r="D3" s="155"/>
      <c r="E3" s="155"/>
      <c r="F3" s="155"/>
      <c r="G3" s="156"/>
      <c r="H3" s="222" t="s">
        <v>423</v>
      </c>
      <c r="I3" s="223"/>
      <c r="J3" s="223"/>
      <c r="K3" s="223"/>
      <c r="L3" s="223"/>
      <c r="M3" s="223"/>
      <c r="N3" s="224"/>
      <c r="O3" s="253"/>
      <c r="P3" s="253"/>
    </row>
    <row r="4" spans="1:16" ht="15.75" customHeight="1">
      <c r="A4" s="149" t="s">
        <v>515</v>
      </c>
      <c r="B4" s="227">
        <f>+IF(SUM(info!F2:F10)=0,"No data available","")</f>
      </c>
      <c r="C4" s="227"/>
      <c r="D4" s="227"/>
      <c r="E4" s="227"/>
      <c r="F4" s="227"/>
      <c r="G4" s="228"/>
      <c r="H4" s="149"/>
      <c r="I4" s="155"/>
      <c r="J4" s="155"/>
      <c r="K4" s="155"/>
      <c r="L4" s="155"/>
      <c r="M4" s="155"/>
      <c r="N4" s="156"/>
      <c r="O4" s="253"/>
      <c r="P4" s="254"/>
    </row>
    <row r="5" spans="1:16" ht="12.75">
      <c r="A5" s="150"/>
      <c r="B5" s="142"/>
      <c r="C5" s="142"/>
      <c r="D5" s="142"/>
      <c r="E5" s="142"/>
      <c r="F5" s="142"/>
      <c r="G5" s="151"/>
      <c r="H5" s="150"/>
      <c r="I5" s="142"/>
      <c r="J5" s="142"/>
      <c r="K5" s="142"/>
      <c r="L5" s="142"/>
      <c r="M5" s="142"/>
      <c r="N5" s="151"/>
      <c r="O5" s="253"/>
      <c r="P5" s="254"/>
    </row>
    <row r="6" spans="1:16" ht="12.75">
      <c r="A6" s="150"/>
      <c r="B6" s="142"/>
      <c r="C6" s="142"/>
      <c r="D6" s="142"/>
      <c r="E6" s="142"/>
      <c r="F6" s="142"/>
      <c r="G6" s="151"/>
      <c r="H6" s="150"/>
      <c r="I6" s="142"/>
      <c r="J6" s="142"/>
      <c r="K6" s="142"/>
      <c r="L6" s="142"/>
      <c r="M6" s="142"/>
      <c r="N6" s="151"/>
      <c r="O6" s="253"/>
      <c r="P6" s="253"/>
    </row>
    <row r="7" spans="1:14" ht="12.75">
      <c r="A7" s="150"/>
      <c r="B7" s="142"/>
      <c r="C7" s="142"/>
      <c r="D7" s="142"/>
      <c r="E7" s="142"/>
      <c r="F7" s="142"/>
      <c r="G7" s="151"/>
      <c r="H7" s="150"/>
      <c r="I7" s="142"/>
      <c r="J7" s="142"/>
      <c r="K7" s="142"/>
      <c r="L7" s="142"/>
      <c r="M7" s="142"/>
      <c r="N7" s="151"/>
    </row>
    <row r="8" spans="1:14" ht="12.75">
      <c r="A8" s="150"/>
      <c r="B8" s="142"/>
      <c r="C8" s="142"/>
      <c r="D8" s="142"/>
      <c r="E8" s="142"/>
      <c r="F8" s="142"/>
      <c r="G8" s="151"/>
      <c r="H8" s="150"/>
      <c r="I8" s="142"/>
      <c r="J8" s="142"/>
      <c r="K8" s="142"/>
      <c r="L8" s="142"/>
      <c r="M8" s="142"/>
      <c r="N8" s="151"/>
    </row>
    <row r="9" spans="1:14" ht="12.75">
      <c r="A9" s="150"/>
      <c r="B9" s="142"/>
      <c r="C9" s="142"/>
      <c r="D9" s="142"/>
      <c r="E9" s="142"/>
      <c r="F9" s="142"/>
      <c r="G9" s="151"/>
      <c r="H9" s="150"/>
      <c r="I9" s="142"/>
      <c r="J9" s="142"/>
      <c r="K9" s="142"/>
      <c r="L9" s="142"/>
      <c r="M9" s="142"/>
      <c r="N9" s="151"/>
    </row>
    <row r="10" spans="1:14" ht="12.75">
      <c r="A10" s="150"/>
      <c r="B10" s="142"/>
      <c r="C10" s="142"/>
      <c r="D10" s="142"/>
      <c r="E10" s="142"/>
      <c r="F10" s="142"/>
      <c r="G10" s="151"/>
      <c r="H10" s="150"/>
      <c r="I10" s="142"/>
      <c r="J10" s="142"/>
      <c r="K10" s="142"/>
      <c r="L10" s="142"/>
      <c r="M10" s="142"/>
      <c r="N10" s="151"/>
    </row>
    <row r="11" spans="1:14" ht="12.75">
      <c r="A11" s="150"/>
      <c r="B11" s="142"/>
      <c r="C11" s="142"/>
      <c r="D11" s="142"/>
      <c r="E11" s="142"/>
      <c r="F11" s="142"/>
      <c r="G11" s="151"/>
      <c r="H11" s="150"/>
      <c r="I11" s="142"/>
      <c r="J11" s="142"/>
      <c r="K11" s="142"/>
      <c r="L11" s="142"/>
      <c r="M11" s="142"/>
      <c r="N11" s="151"/>
    </row>
    <row r="12" spans="1:14" ht="12.75">
      <c r="A12" s="150"/>
      <c r="B12" s="142"/>
      <c r="C12" s="142"/>
      <c r="D12" s="142"/>
      <c r="E12" s="142"/>
      <c r="F12" s="142"/>
      <c r="G12" s="151"/>
      <c r="H12" s="150"/>
      <c r="I12" s="142"/>
      <c r="J12" s="142"/>
      <c r="K12" s="142"/>
      <c r="L12" s="142"/>
      <c r="M12" s="142"/>
      <c r="N12" s="151"/>
    </row>
    <row r="13" spans="1:14" ht="12.75">
      <c r="A13" s="150"/>
      <c r="B13" s="142"/>
      <c r="C13" s="142"/>
      <c r="D13" s="142"/>
      <c r="E13" s="142"/>
      <c r="F13" s="142"/>
      <c r="G13" s="151"/>
      <c r="H13" s="150"/>
      <c r="I13" s="142"/>
      <c r="J13" s="142"/>
      <c r="K13" s="142"/>
      <c r="L13" s="142"/>
      <c r="M13" s="142"/>
      <c r="N13" s="151"/>
    </row>
    <row r="14" spans="1:14" ht="12.75">
      <c r="A14" s="150"/>
      <c r="B14" s="142"/>
      <c r="C14" s="142"/>
      <c r="D14" s="142"/>
      <c r="E14" s="142"/>
      <c r="F14" s="142"/>
      <c r="G14" s="151"/>
      <c r="H14" s="150"/>
      <c r="I14" s="142"/>
      <c r="J14" s="142"/>
      <c r="K14" s="142"/>
      <c r="L14" s="142"/>
      <c r="M14" s="142"/>
      <c r="N14" s="151"/>
    </row>
    <row r="15" spans="1:14" ht="12.75">
      <c r="A15" s="150"/>
      <c r="B15" s="142"/>
      <c r="C15" s="142"/>
      <c r="D15" s="142"/>
      <c r="E15" s="142"/>
      <c r="F15" s="142"/>
      <c r="G15" s="151"/>
      <c r="H15" s="150"/>
      <c r="I15" s="142"/>
      <c r="J15" s="142"/>
      <c r="K15" s="142"/>
      <c r="L15" s="142"/>
      <c r="M15" s="142"/>
      <c r="N15" s="151"/>
    </row>
    <row r="16" spans="1:14" ht="12.75">
      <c r="A16" s="150"/>
      <c r="B16" s="142"/>
      <c r="C16" s="142"/>
      <c r="D16" s="142"/>
      <c r="E16" s="142"/>
      <c r="F16" s="142"/>
      <c r="G16" s="151"/>
      <c r="H16" s="150"/>
      <c r="I16" s="142"/>
      <c r="J16" s="142"/>
      <c r="K16" s="142"/>
      <c r="L16" s="142"/>
      <c r="M16" s="142"/>
      <c r="N16" s="151"/>
    </row>
    <row r="17" spans="1:14" ht="12.75">
      <c r="A17" s="150"/>
      <c r="B17" s="142"/>
      <c r="C17" s="142"/>
      <c r="D17" s="142"/>
      <c r="E17" s="142"/>
      <c r="F17" s="142"/>
      <c r="G17" s="151"/>
      <c r="H17" s="150"/>
      <c r="I17" s="142"/>
      <c r="J17" s="142"/>
      <c r="K17" s="142"/>
      <c r="L17" s="142"/>
      <c r="M17" s="142"/>
      <c r="N17" s="151"/>
    </row>
    <row r="18" spans="1:14" ht="12.75">
      <c r="A18" s="150"/>
      <c r="B18" s="142"/>
      <c r="C18" s="142"/>
      <c r="D18" s="142"/>
      <c r="E18" s="142"/>
      <c r="F18" s="142"/>
      <c r="G18" s="151"/>
      <c r="H18" s="150"/>
      <c r="I18" s="142"/>
      <c r="J18" s="142"/>
      <c r="K18" s="142"/>
      <c r="L18" s="142"/>
      <c r="M18" s="142"/>
      <c r="N18" s="151"/>
    </row>
    <row r="19" spans="1:14" ht="12.75">
      <c r="A19" s="150"/>
      <c r="B19" s="142"/>
      <c r="C19" s="142"/>
      <c r="D19" s="142"/>
      <c r="E19" s="142"/>
      <c r="F19" s="142"/>
      <c r="G19" s="151"/>
      <c r="H19" s="150"/>
      <c r="I19" s="142"/>
      <c r="J19" s="142"/>
      <c r="K19" s="142"/>
      <c r="L19" s="142"/>
      <c r="M19" s="142"/>
      <c r="N19" s="151"/>
    </row>
    <row r="20" spans="1:14" ht="12.75">
      <c r="A20" s="150"/>
      <c r="B20" s="142"/>
      <c r="C20" s="142"/>
      <c r="D20" s="142"/>
      <c r="E20" s="142"/>
      <c r="F20" s="142"/>
      <c r="G20" s="151"/>
      <c r="H20" s="150"/>
      <c r="I20" s="142"/>
      <c r="J20" s="142"/>
      <c r="K20" s="142"/>
      <c r="L20" s="142"/>
      <c r="M20" s="142"/>
      <c r="N20" s="151"/>
    </row>
    <row r="21" spans="1:14" ht="12.75">
      <c r="A21" s="150"/>
      <c r="B21" s="142"/>
      <c r="C21" s="142"/>
      <c r="D21" s="142"/>
      <c r="E21" s="142"/>
      <c r="F21" s="142"/>
      <c r="G21" s="151"/>
      <c r="H21" s="150"/>
      <c r="I21" s="142"/>
      <c r="J21" s="142"/>
      <c r="K21" s="142"/>
      <c r="L21" s="142"/>
      <c r="M21" s="142"/>
      <c r="N21" s="151"/>
    </row>
    <row r="22" spans="1:14" ht="12.75">
      <c r="A22" s="150"/>
      <c r="B22" s="142"/>
      <c r="C22" s="142"/>
      <c r="D22" s="142"/>
      <c r="E22" s="142"/>
      <c r="F22" s="142"/>
      <c r="G22" s="151"/>
      <c r="H22" s="150"/>
      <c r="I22" s="142"/>
      <c r="J22" s="142"/>
      <c r="K22" s="142"/>
      <c r="L22" s="142"/>
      <c r="M22" s="142"/>
      <c r="N22" s="151"/>
    </row>
    <row r="23" spans="1:14" ht="12.75">
      <c r="A23" s="150"/>
      <c r="B23" s="142"/>
      <c r="C23" s="142"/>
      <c r="D23" s="142"/>
      <c r="E23" s="142"/>
      <c r="F23" s="142"/>
      <c r="G23" s="151"/>
      <c r="H23" s="150"/>
      <c r="I23" s="142"/>
      <c r="J23" s="142"/>
      <c r="K23" s="142"/>
      <c r="L23" s="142"/>
      <c r="M23" s="142"/>
      <c r="N23" s="151"/>
    </row>
    <row r="24" spans="1:14" ht="12.75">
      <c r="A24" s="150"/>
      <c r="B24" s="142"/>
      <c r="C24" s="142"/>
      <c r="D24" s="142"/>
      <c r="E24" s="142"/>
      <c r="F24" s="142"/>
      <c r="G24" s="151"/>
      <c r="H24" s="150"/>
      <c r="I24" s="142"/>
      <c r="J24" s="142"/>
      <c r="K24" s="142"/>
      <c r="L24" s="142"/>
      <c r="M24" s="142"/>
      <c r="N24" s="151"/>
    </row>
    <row r="25" spans="1:14" ht="12.75">
      <c r="A25" s="150"/>
      <c r="B25" s="142"/>
      <c r="C25" s="142"/>
      <c r="D25" s="142"/>
      <c r="E25" s="142"/>
      <c r="F25" s="142"/>
      <c r="G25" s="151"/>
      <c r="H25" s="150"/>
      <c r="I25" s="142"/>
      <c r="J25" s="142"/>
      <c r="K25" s="142"/>
      <c r="L25" s="142"/>
      <c r="M25" s="142"/>
      <c r="N25" s="151"/>
    </row>
    <row r="26" spans="1:14" ht="12.75">
      <c r="A26" s="150"/>
      <c r="B26" s="142"/>
      <c r="C26" s="142"/>
      <c r="D26" s="142"/>
      <c r="E26" s="142"/>
      <c r="F26" s="142"/>
      <c r="G26" s="151"/>
      <c r="H26" s="150"/>
      <c r="I26" s="142"/>
      <c r="J26" s="142"/>
      <c r="K26" s="142"/>
      <c r="L26" s="142"/>
      <c r="M26" s="142"/>
      <c r="N26" s="151"/>
    </row>
    <row r="27" spans="1:14" ht="12.75">
      <c r="A27" s="152"/>
      <c r="B27" s="153"/>
      <c r="C27" s="153"/>
      <c r="D27" s="153"/>
      <c r="E27" s="153"/>
      <c r="F27" s="153"/>
      <c r="G27" s="154"/>
      <c r="H27" s="152"/>
      <c r="I27" s="153"/>
      <c r="J27" s="153"/>
      <c r="K27" s="153"/>
      <c r="L27" s="153"/>
      <c r="M27" s="153"/>
      <c r="N27" s="154"/>
    </row>
    <row r="28" spans="1:7" ht="12.75">
      <c r="A28" s="142"/>
      <c r="B28" s="142"/>
      <c r="C28" s="142"/>
      <c r="D28" s="142"/>
      <c r="E28" s="142"/>
      <c r="F28" s="232">
        <f>+IF(MIN('user2 calculation'!G15:K23)&lt;0,"ERROR","")</f>
      </c>
      <c r="G28" s="232"/>
    </row>
    <row r="29" spans="1:14" s="137" customFormat="1" ht="15.75" customHeight="1">
      <c r="A29" s="229" t="s">
        <v>521</v>
      </c>
      <c r="B29" s="230"/>
      <c r="C29" s="230"/>
      <c r="D29" s="230"/>
      <c r="E29" s="230"/>
      <c r="F29" s="231" t="s">
        <v>346</v>
      </c>
      <c r="G29" s="231"/>
      <c r="H29" s="225" t="s">
        <v>522</v>
      </c>
      <c r="I29" s="225"/>
      <c r="J29" s="225"/>
      <c r="K29" s="225"/>
      <c r="L29" s="225"/>
      <c r="M29" s="225"/>
      <c r="N29" s="226"/>
    </row>
    <row r="30" spans="1:8" ht="15.75" customHeight="1">
      <c r="A30">
        <v>5</v>
      </c>
      <c r="F30" s="220">
        <v>50</v>
      </c>
      <c r="G30" s="221"/>
      <c r="H30">
        <v>5</v>
      </c>
    </row>
    <row r="31" spans="1:8" ht="15.75" customHeight="1">
      <c r="A31">
        <v>5</v>
      </c>
      <c r="F31" s="220">
        <v>10</v>
      </c>
      <c r="G31" s="221"/>
      <c r="H31">
        <v>6</v>
      </c>
    </row>
    <row r="32" spans="1:8" ht="15.75" customHeight="1">
      <c r="A32">
        <v>10</v>
      </c>
      <c r="F32" s="220"/>
      <c r="G32" s="221"/>
      <c r="H32">
        <v>21</v>
      </c>
    </row>
    <row r="33" spans="1:8" ht="15.75" customHeight="1">
      <c r="A33">
        <v>10</v>
      </c>
      <c r="F33" s="220"/>
      <c r="G33" s="221"/>
      <c r="H33">
        <v>21</v>
      </c>
    </row>
    <row r="34" spans="1:8" ht="15.75" customHeight="1">
      <c r="A34">
        <v>10</v>
      </c>
      <c r="F34" s="220"/>
      <c r="G34" s="221"/>
      <c r="H34">
        <v>21</v>
      </c>
    </row>
    <row r="35" spans="1:8" ht="15.75" customHeight="1">
      <c r="A35">
        <v>10</v>
      </c>
      <c r="F35" s="220"/>
      <c r="G35" s="221"/>
      <c r="H35">
        <v>21</v>
      </c>
    </row>
    <row r="36" spans="1:8" ht="15.75" customHeight="1">
      <c r="A36">
        <v>10</v>
      </c>
      <c r="F36" s="220"/>
      <c r="G36" s="221"/>
      <c r="H36">
        <v>21</v>
      </c>
    </row>
    <row r="37" spans="1:8" ht="15.75" customHeight="1">
      <c r="A37">
        <v>10</v>
      </c>
      <c r="F37" s="220"/>
      <c r="G37" s="221"/>
      <c r="H37">
        <v>21</v>
      </c>
    </row>
    <row r="38" spans="1:8" ht="15.75" customHeight="1">
      <c r="A38">
        <v>10</v>
      </c>
      <c r="F38" s="220"/>
      <c r="G38" s="221"/>
      <c r="H38">
        <v>21</v>
      </c>
    </row>
    <row r="39" spans="1:8" ht="15.75" customHeight="1">
      <c r="A39">
        <v>10</v>
      </c>
      <c r="F39" s="220"/>
      <c r="G39" s="221"/>
      <c r="H39">
        <v>21</v>
      </c>
    </row>
    <row r="41" spans="1:14" ht="12.75">
      <c r="A41" s="129" t="s">
        <v>434</v>
      </c>
      <c r="B41" s="130"/>
      <c r="C41" s="130"/>
      <c r="D41" s="130"/>
      <c r="E41" s="130"/>
      <c r="F41" s="130"/>
      <c r="G41" s="130"/>
      <c r="H41" s="178" t="s">
        <v>435</v>
      </c>
      <c r="I41" s="179"/>
      <c r="J41" s="179"/>
      <c r="K41" s="179"/>
      <c r="L41" s="179"/>
      <c r="M41" s="179"/>
      <c r="N41" s="179"/>
    </row>
    <row r="42" spans="1:14" ht="12.75">
      <c r="A42" s="130" t="s">
        <v>547</v>
      </c>
      <c r="B42" s="130"/>
      <c r="C42" s="130"/>
      <c r="D42" s="130"/>
      <c r="E42" s="130"/>
      <c r="F42" s="130"/>
      <c r="G42" s="130"/>
      <c r="H42" s="180" t="s">
        <v>436</v>
      </c>
      <c r="I42" s="179"/>
      <c r="J42" s="179"/>
      <c r="K42" s="179"/>
      <c r="L42" s="179"/>
      <c r="M42" s="179"/>
      <c r="N42" s="179"/>
    </row>
    <row r="43" spans="1:14" ht="12.75">
      <c r="A43" s="130" t="s">
        <v>548</v>
      </c>
      <c r="B43" s="130"/>
      <c r="C43" s="130"/>
      <c r="D43" s="130"/>
      <c r="E43" s="130"/>
      <c r="F43" s="130"/>
      <c r="G43" s="130"/>
      <c r="H43" s="180" t="s">
        <v>554</v>
      </c>
      <c r="I43" s="179"/>
      <c r="J43" s="179"/>
      <c r="K43" s="179"/>
      <c r="L43" s="179"/>
      <c r="M43" s="179"/>
      <c r="N43" s="179"/>
    </row>
    <row r="44" spans="1:14" ht="12.75">
      <c r="A44" s="130" t="s">
        <v>549</v>
      </c>
      <c r="B44" s="130"/>
      <c r="C44" s="130"/>
      <c r="D44" s="130"/>
      <c r="E44" s="130"/>
      <c r="F44" s="130"/>
      <c r="G44" s="130"/>
      <c r="H44" s="179" t="s">
        <v>437</v>
      </c>
      <c r="I44" s="179"/>
      <c r="J44" s="179"/>
      <c r="K44" s="179"/>
      <c r="L44" s="179"/>
      <c r="M44" s="179"/>
      <c r="N44" s="179"/>
    </row>
    <row r="45" spans="1:14" ht="12.75">
      <c r="A45" s="130" t="s">
        <v>550</v>
      </c>
      <c r="B45" s="130"/>
      <c r="C45" s="130"/>
      <c r="D45" s="130"/>
      <c r="E45" s="130"/>
      <c r="F45" s="130"/>
      <c r="G45" s="130"/>
      <c r="H45" s="179" t="s">
        <v>438</v>
      </c>
      <c r="I45" s="179"/>
      <c r="J45" s="179"/>
      <c r="K45" s="179"/>
      <c r="L45" s="179"/>
      <c r="M45" s="179"/>
      <c r="N45" s="179"/>
    </row>
    <row r="46" spans="1:14" ht="12.75">
      <c r="A46" s="130" t="s">
        <v>551</v>
      </c>
      <c r="B46" s="130"/>
      <c r="C46" s="130"/>
      <c r="D46" s="130"/>
      <c r="E46" s="130"/>
      <c r="F46" s="130"/>
      <c r="G46" s="130"/>
      <c r="H46" s="179" t="s">
        <v>439</v>
      </c>
      <c r="I46" s="179"/>
      <c r="J46" s="179"/>
      <c r="K46" s="179"/>
      <c r="L46" s="179"/>
      <c r="M46" s="179"/>
      <c r="N46" s="179"/>
    </row>
    <row r="47" spans="1:14" ht="12.75">
      <c r="A47" s="130"/>
      <c r="B47" s="130"/>
      <c r="C47" s="130"/>
      <c r="D47" s="130"/>
      <c r="E47" s="130"/>
      <c r="F47" s="130"/>
      <c r="G47" s="130"/>
      <c r="H47" s="179" t="s">
        <v>440</v>
      </c>
      <c r="I47" s="179"/>
      <c r="J47" s="179"/>
      <c r="K47" s="179"/>
      <c r="L47" s="179"/>
      <c r="M47" s="179"/>
      <c r="N47" s="179"/>
    </row>
    <row r="48" spans="1:14" ht="12.75">
      <c r="A48" s="214" t="s">
        <v>517</v>
      </c>
      <c r="B48" s="130"/>
      <c r="C48" s="130"/>
      <c r="D48" s="130"/>
      <c r="E48" s="130"/>
      <c r="F48" s="130"/>
      <c r="G48" s="130"/>
      <c r="H48" s="179" t="s">
        <v>441</v>
      </c>
      <c r="I48" s="179"/>
      <c r="J48" s="179"/>
      <c r="K48" s="179"/>
      <c r="L48" s="179"/>
      <c r="M48" s="179"/>
      <c r="N48" s="179"/>
    </row>
    <row r="49" spans="1:14" ht="12.75">
      <c r="A49" s="214" t="s">
        <v>518</v>
      </c>
      <c r="B49" s="130"/>
      <c r="C49" s="130"/>
      <c r="D49" s="130"/>
      <c r="E49" s="130"/>
      <c r="F49" s="130"/>
      <c r="G49" s="130"/>
      <c r="H49" s="179" t="s">
        <v>489</v>
      </c>
      <c r="I49" s="179"/>
      <c r="J49" s="179"/>
      <c r="K49" s="179"/>
      <c r="L49" s="179"/>
      <c r="M49" s="179"/>
      <c r="N49" s="179"/>
    </row>
    <row r="50" spans="1:14" ht="12.75">
      <c r="A50" s="130"/>
      <c r="B50" s="130"/>
      <c r="C50" s="130"/>
      <c r="D50" s="130"/>
      <c r="E50" s="130"/>
      <c r="F50" s="130"/>
      <c r="G50" s="130"/>
      <c r="H50" s="179" t="s">
        <v>442</v>
      </c>
      <c r="I50" s="179"/>
      <c r="J50" s="179"/>
      <c r="K50" s="179"/>
      <c r="L50" s="179"/>
      <c r="M50" s="179"/>
      <c r="N50" s="179"/>
    </row>
    <row r="51" spans="1:14" ht="12.75">
      <c r="A51" s="130"/>
      <c r="B51" s="130"/>
      <c r="C51" s="130"/>
      <c r="D51" s="130"/>
      <c r="E51" s="130"/>
      <c r="F51" s="130"/>
      <c r="G51" s="130"/>
      <c r="H51" s="179" t="s">
        <v>490</v>
      </c>
      <c r="I51" s="179"/>
      <c r="J51" s="179"/>
      <c r="K51" s="179"/>
      <c r="L51" s="179"/>
      <c r="M51" s="179"/>
      <c r="N51" s="179"/>
    </row>
    <row r="52" spans="1:14" ht="12.75">
      <c r="A52" s="181" t="s">
        <v>443</v>
      </c>
      <c r="B52" s="182"/>
      <c r="C52" s="182"/>
      <c r="D52" s="182"/>
      <c r="E52" s="182"/>
      <c r="F52" s="182"/>
      <c r="G52" s="182"/>
      <c r="H52" s="182"/>
      <c r="I52" s="182"/>
      <c r="J52" s="182"/>
      <c r="K52" s="182"/>
      <c r="L52" s="182"/>
      <c r="M52" s="182"/>
      <c r="N52" s="182"/>
    </row>
    <row r="53" spans="1:14" ht="12.75">
      <c r="A53" s="182" t="s">
        <v>519</v>
      </c>
      <c r="B53" s="182"/>
      <c r="C53" s="182"/>
      <c r="D53" s="182"/>
      <c r="E53" s="182"/>
      <c r="F53" s="182"/>
      <c r="G53" s="182"/>
      <c r="H53" s="182"/>
      <c r="I53" s="182"/>
      <c r="J53" s="182"/>
      <c r="K53" s="182"/>
      <c r="L53" s="182"/>
      <c r="M53" s="182"/>
      <c r="N53" s="182"/>
    </row>
    <row r="54" spans="1:14" ht="12.75">
      <c r="A54" s="182" t="s">
        <v>520</v>
      </c>
      <c r="B54" s="182"/>
      <c r="C54" s="182"/>
      <c r="D54" s="182"/>
      <c r="E54" s="182"/>
      <c r="F54" s="182"/>
      <c r="G54" s="182"/>
      <c r="H54" s="182"/>
      <c r="I54" s="182"/>
      <c r="J54" s="182"/>
      <c r="K54" s="182"/>
      <c r="L54" s="182"/>
      <c r="M54" s="182"/>
      <c r="N54" s="182"/>
    </row>
    <row r="55" spans="1:16" ht="12.75">
      <c r="A55" s="183"/>
      <c r="B55" s="183"/>
      <c r="C55" s="183"/>
      <c r="D55" s="183"/>
      <c r="E55" s="183"/>
      <c r="F55" s="183"/>
      <c r="G55" s="183"/>
      <c r="H55" s="183"/>
      <c r="I55" s="183"/>
      <c r="J55" s="183"/>
      <c r="K55" s="183"/>
      <c r="L55" s="183"/>
      <c r="M55" s="183"/>
      <c r="N55" s="183"/>
      <c r="O55" s="183"/>
      <c r="P55" s="183"/>
    </row>
    <row r="56" spans="1:16" ht="12.75">
      <c r="A56" s="183"/>
      <c r="B56" s="183"/>
      <c r="C56" s="183"/>
      <c r="D56" s="183"/>
      <c r="E56" s="183"/>
      <c r="F56" s="183"/>
      <c r="G56" s="183"/>
      <c r="H56" s="183"/>
      <c r="I56" s="183"/>
      <c r="J56" s="183"/>
      <c r="K56" s="183"/>
      <c r="L56" s="183"/>
      <c r="M56" s="183"/>
      <c r="N56" s="183"/>
      <c r="O56" s="183"/>
      <c r="P56" s="183"/>
    </row>
    <row r="57" spans="1:16" ht="12.75">
      <c r="A57" s="183"/>
      <c r="B57" s="183"/>
      <c r="C57" s="183"/>
      <c r="D57" s="183"/>
      <c r="E57" s="183"/>
      <c r="F57" s="183"/>
      <c r="G57" s="183"/>
      <c r="H57" s="183"/>
      <c r="I57" s="183"/>
      <c r="J57" s="183"/>
      <c r="K57" s="183"/>
      <c r="L57" s="183"/>
      <c r="M57" s="183"/>
      <c r="N57" s="183"/>
      <c r="O57" s="183"/>
      <c r="P57" s="183"/>
    </row>
    <row r="58" spans="1:16" ht="12.75">
      <c r="A58" s="183"/>
      <c r="B58" s="183"/>
      <c r="C58" s="183"/>
      <c r="D58" s="183"/>
      <c r="E58" s="183"/>
      <c r="F58" s="183"/>
      <c r="G58" s="183"/>
      <c r="H58" s="183"/>
      <c r="I58" s="183"/>
      <c r="J58" s="183"/>
      <c r="K58" s="183"/>
      <c r="L58" s="183"/>
      <c r="M58" s="183"/>
      <c r="N58" s="183"/>
      <c r="O58" s="183"/>
      <c r="P58" s="183"/>
    </row>
    <row r="59" spans="1:16" ht="12.75">
      <c r="A59" s="183"/>
      <c r="B59" s="183"/>
      <c r="C59" s="183"/>
      <c r="D59" s="183"/>
      <c r="E59" s="183"/>
      <c r="F59" s="183"/>
      <c r="G59" s="183"/>
      <c r="H59" s="183"/>
      <c r="I59" s="183"/>
      <c r="J59" s="183"/>
      <c r="K59" s="183"/>
      <c r="L59" s="183"/>
      <c r="M59" s="183"/>
      <c r="N59" s="183"/>
      <c r="O59" s="183"/>
      <c r="P59" s="183"/>
    </row>
    <row r="60" spans="1:16" ht="12.75">
      <c r="A60" s="183"/>
      <c r="B60" s="183"/>
      <c r="C60" s="183"/>
      <c r="D60" s="183"/>
      <c r="E60" s="183"/>
      <c r="F60" s="183"/>
      <c r="G60" s="183"/>
      <c r="H60" s="183"/>
      <c r="I60" s="183"/>
      <c r="J60" s="183"/>
      <c r="K60" s="183"/>
      <c r="L60" s="183"/>
      <c r="M60" s="183"/>
      <c r="N60" s="183"/>
      <c r="O60" s="183"/>
      <c r="P60" s="183"/>
    </row>
    <row r="61" spans="1:16" ht="12.75">
      <c r="A61" s="183"/>
      <c r="B61" s="183"/>
      <c r="C61" s="183"/>
      <c r="D61" s="183"/>
      <c r="E61" s="183"/>
      <c r="F61" s="183"/>
      <c r="G61" s="183"/>
      <c r="H61" s="183"/>
      <c r="I61" s="183"/>
      <c r="J61" s="183"/>
      <c r="K61" s="183"/>
      <c r="L61" s="183"/>
      <c r="M61" s="183"/>
      <c r="N61" s="183"/>
      <c r="O61" s="183"/>
      <c r="P61" s="183"/>
    </row>
    <row r="62" spans="1:16" ht="12.75">
      <c r="A62" s="183"/>
      <c r="B62" s="183"/>
      <c r="C62" s="183"/>
      <c r="D62" s="183"/>
      <c r="E62" s="183"/>
      <c r="F62" s="183"/>
      <c r="G62" s="183"/>
      <c r="H62" s="183"/>
      <c r="I62" s="183"/>
      <c r="J62" s="183"/>
      <c r="K62" s="183"/>
      <c r="L62" s="183"/>
      <c r="M62" s="183"/>
      <c r="N62" s="183"/>
      <c r="O62" s="183"/>
      <c r="P62" s="183"/>
    </row>
  </sheetData>
  <mergeCells count="17">
    <mergeCell ref="F31:G31"/>
    <mergeCell ref="F32:G32"/>
    <mergeCell ref="F33:G33"/>
    <mergeCell ref="B4:G4"/>
    <mergeCell ref="A29:E29"/>
    <mergeCell ref="F29:G29"/>
    <mergeCell ref="F28:G28"/>
    <mergeCell ref="A1:E1"/>
    <mergeCell ref="F38:G38"/>
    <mergeCell ref="F39:G39"/>
    <mergeCell ref="H3:N3"/>
    <mergeCell ref="H29:N29"/>
    <mergeCell ref="F34:G34"/>
    <mergeCell ref="F35:G35"/>
    <mergeCell ref="F36:G36"/>
    <mergeCell ref="F37:G37"/>
    <mergeCell ref="F30:G30"/>
  </mergeCells>
  <conditionalFormatting sqref="F28:G28">
    <cfRule type="expression" priority="1" dxfId="0" stopIfTrue="1">
      <formula>$F$28=""</formula>
    </cfRule>
  </conditionalFormatting>
  <printOptions/>
  <pageMargins left="0" right="0" top="0" bottom="0" header="0" footer="0"/>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dimension ref="A1:P42"/>
  <sheetViews>
    <sheetView showGridLines="0" workbookViewId="0" topLeftCell="A1">
      <selection activeCell="R10" sqref="R10"/>
    </sheetView>
  </sheetViews>
  <sheetFormatPr defaultColWidth="11.421875" defaultRowHeight="12.75"/>
  <cols>
    <col min="1" max="1" width="48.421875" style="0" customWidth="1"/>
    <col min="2" max="16384" width="9.140625" style="0" customWidth="1"/>
  </cols>
  <sheetData>
    <row r="1" spans="1:11" ht="23.25">
      <c r="A1" s="218" t="s">
        <v>532</v>
      </c>
      <c r="B1" s="219"/>
      <c r="C1" s="219"/>
      <c r="D1" s="219"/>
      <c r="E1" s="219"/>
      <c r="F1" s="212" t="s">
        <v>533</v>
      </c>
      <c r="G1" s="183"/>
      <c r="H1" s="183"/>
      <c r="I1" s="183"/>
      <c r="J1" s="183"/>
      <c r="K1" s="183"/>
    </row>
    <row r="2" spans="1:12" ht="20.25">
      <c r="A2" s="78" t="s">
        <v>539</v>
      </c>
      <c r="B2" s="211"/>
      <c r="C2" s="211"/>
      <c r="D2" s="211"/>
      <c r="E2" s="211"/>
      <c r="F2" s="78"/>
      <c r="G2" s="9"/>
      <c r="H2" s="129" t="s">
        <v>434</v>
      </c>
      <c r="I2" s="130"/>
      <c r="J2" s="130"/>
      <c r="K2" s="130"/>
      <c r="L2" s="130"/>
    </row>
    <row r="3" spans="1:16" s="138" customFormat="1" ht="15.75" customHeight="1">
      <c r="A3" s="250" t="s">
        <v>341</v>
      </c>
      <c r="B3" s="251"/>
      <c r="C3" s="251"/>
      <c r="D3" s="251"/>
      <c r="E3" s="251"/>
      <c r="F3" s="251"/>
      <c r="G3" s="246"/>
      <c r="H3" s="215" t="s">
        <v>540</v>
      </c>
      <c r="I3" s="131"/>
      <c r="J3" s="130"/>
      <c r="K3" s="130"/>
      <c r="L3" s="130"/>
      <c r="M3"/>
      <c r="N3"/>
      <c r="O3"/>
      <c r="P3"/>
    </row>
    <row r="4" spans="1:12" ht="16.5" customHeight="1">
      <c r="A4" s="141" t="s">
        <v>120</v>
      </c>
      <c r="B4" s="143">
        <v>5</v>
      </c>
      <c r="H4" s="215" t="s">
        <v>541</v>
      </c>
      <c r="I4" s="130"/>
      <c r="J4" s="130"/>
      <c r="K4" s="130"/>
      <c r="L4" s="130"/>
    </row>
    <row r="5" spans="1:12" ht="16.5" customHeight="1">
      <c r="A5" s="139" t="s">
        <v>317</v>
      </c>
      <c r="B5" s="244">
        <v>20000</v>
      </c>
      <c r="C5" s="245"/>
      <c r="D5" s="245"/>
      <c r="E5" s="245"/>
      <c r="F5" s="245"/>
      <c r="G5" s="246"/>
      <c r="H5" s="216" t="s">
        <v>534</v>
      </c>
      <c r="I5" s="130"/>
      <c r="J5" s="134"/>
      <c r="K5" s="134"/>
      <c r="L5" s="130"/>
    </row>
    <row r="6" spans="1:12" ht="16.5" customHeight="1">
      <c r="A6" s="139" t="s">
        <v>536</v>
      </c>
      <c r="B6" s="244"/>
      <c r="C6" s="245"/>
      <c r="D6" s="245"/>
      <c r="E6" s="245"/>
      <c r="F6" s="245"/>
      <c r="G6" s="246"/>
      <c r="H6" s="215" t="s">
        <v>535</v>
      </c>
      <c r="I6" s="130"/>
      <c r="J6" s="130"/>
      <c r="K6" s="130"/>
      <c r="L6" s="134"/>
    </row>
    <row r="7" spans="1:12" ht="16.5" customHeight="1">
      <c r="A7" s="140" t="s">
        <v>537</v>
      </c>
      <c r="B7" s="144" t="s">
        <v>513</v>
      </c>
      <c r="H7" s="216" t="s">
        <v>542</v>
      </c>
      <c r="I7" s="130"/>
      <c r="J7" s="130"/>
      <c r="K7" s="130"/>
      <c r="L7" s="130"/>
    </row>
    <row r="8" spans="1:12" ht="15.75" customHeight="1">
      <c r="A8" s="250" t="s">
        <v>538</v>
      </c>
      <c r="B8" s="251"/>
      <c r="C8" s="251"/>
      <c r="D8" s="251"/>
      <c r="E8" s="251"/>
      <c r="F8" s="251"/>
      <c r="G8" s="246"/>
      <c r="H8" s="129" t="s">
        <v>435</v>
      </c>
      <c r="I8" s="130"/>
      <c r="J8" s="130"/>
      <c r="K8" s="130"/>
      <c r="L8" s="130"/>
    </row>
    <row r="9" spans="1:12" ht="15.75" customHeight="1">
      <c r="A9" s="145" t="s">
        <v>343</v>
      </c>
      <c r="B9" s="247"/>
      <c r="C9" s="248"/>
      <c r="D9" s="248"/>
      <c r="E9" s="248"/>
      <c r="F9" s="248"/>
      <c r="G9" s="249"/>
      <c r="H9" s="217" t="s">
        <v>553</v>
      </c>
      <c r="I9" s="130"/>
      <c r="J9" s="130"/>
      <c r="K9" s="130"/>
      <c r="L9" s="130"/>
    </row>
    <row r="10" spans="1:12" ht="15.75" customHeight="1">
      <c r="A10" s="141" t="s">
        <v>342</v>
      </c>
      <c r="B10">
        <v>1</v>
      </c>
      <c r="H10" s="217" t="s">
        <v>543</v>
      </c>
      <c r="I10" s="130"/>
      <c r="J10" s="130"/>
      <c r="K10" s="130"/>
      <c r="L10" s="130"/>
    </row>
    <row r="11" spans="1:12" ht="15.75" customHeight="1">
      <c r="A11" s="139" t="str">
        <f>+info!D2</f>
        <v>Full load efficiency (% net)</v>
      </c>
      <c r="B11" s="244"/>
      <c r="C11" s="245"/>
      <c r="D11" s="245"/>
      <c r="E11" s="245"/>
      <c r="F11" s="245"/>
      <c r="G11" s="246"/>
      <c r="H11" s="215" t="s">
        <v>552</v>
      </c>
      <c r="I11" s="130"/>
      <c r="J11" s="130"/>
      <c r="K11" s="130"/>
      <c r="L11" s="130"/>
    </row>
    <row r="12" spans="1:12" ht="15.75" customHeight="1">
      <c r="A12" s="139" t="str">
        <f>+info!D3</f>
        <v>Part load efficiency (% net)</v>
      </c>
      <c r="B12" s="244"/>
      <c r="C12" s="245"/>
      <c r="D12" s="245"/>
      <c r="E12" s="245"/>
      <c r="F12" s="245"/>
      <c r="G12" s="246"/>
      <c r="H12" s="215" t="s">
        <v>544</v>
      </c>
      <c r="I12" s="130"/>
      <c r="J12" s="130"/>
      <c r="K12" s="130"/>
      <c r="L12" s="130"/>
    </row>
    <row r="13" spans="1:12" ht="15.75" customHeight="1">
      <c r="A13" s="139" t="str">
        <f>+info!D4</f>
        <v>Electricity consumption (kWh/year)</v>
      </c>
      <c r="B13" s="244"/>
      <c r="C13" s="245"/>
      <c r="D13" s="245"/>
      <c r="E13" s="245"/>
      <c r="F13" s="245"/>
      <c r="G13" s="246"/>
      <c r="H13" s="215" t="s">
        <v>545</v>
      </c>
      <c r="I13" s="130"/>
      <c r="J13" s="130"/>
      <c r="K13" s="130"/>
      <c r="L13" s="130"/>
    </row>
    <row r="14" spans="1:6" ht="19.5" customHeight="1">
      <c r="A14" s="210"/>
      <c r="B14" s="243"/>
      <c r="C14" s="243"/>
      <c r="D14" s="243"/>
      <c r="E14" s="243"/>
      <c r="F14" s="243"/>
    </row>
    <row r="15" spans="1:8" ht="15.75">
      <c r="A15" s="147" t="s">
        <v>514</v>
      </c>
      <c r="B15" s="237" t="str">
        <f>+"Energy costs ("&amp;info!A17&amp;"/year)"</f>
        <v>Energy costs (€/year)</v>
      </c>
      <c r="C15" s="238"/>
      <c r="D15" s="239"/>
      <c r="E15" s="240" t="s">
        <v>345</v>
      </c>
      <c r="F15" s="241"/>
      <c r="G15" s="242"/>
      <c r="H15" s="148">
        <v>1</v>
      </c>
    </row>
    <row r="16" spans="1:8" ht="15.75" customHeight="1">
      <c r="A16" s="146" t="str">
        <f>+info!C2</f>
        <v>Natural gas, atmospheric boiler, non modulating</v>
      </c>
      <c r="B16" s="233">
        <f>+'user1 calculation'!I26</f>
        <v>1137.5947995666309</v>
      </c>
      <c r="C16" s="234"/>
      <c r="D16" s="235"/>
      <c r="E16" s="233">
        <f>+'user1 calculation'!H26</f>
        <v>4660.615384615385</v>
      </c>
      <c r="F16" s="234"/>
      <c r="G16" s="235"/>
      <c r="H16" s="148">
        <f>+IF(H$15=1,B16,E16)</f>
        <v>1137.5947995666309</v>
      </c>
    </row>
    <row r="17" spans="1:8" ht="15.75" customHeight="1">
      <c r="A17" s="146" t="str">
        <f>+info!C3</f>
        <v>Natural gas, atmospheric boiler, modulating</v>
      </c>
      <c r="B17" s="233">
        <f>+'user1 calculation'!I27</f>
        <v>1111.9347664936993</v>
      </c>
      <c r="C17" s="234"/>
      <c r="D17" s="235"/>
      <c r="E17" s="233">
        <f>+'user1 calculation'!H27</f>
        <v>4555.488721804511</v>
      </c>
      <c r="F17" s="234"/>
      <c r="G17" s="235"/>
      <c r="H17" s="148">
        <f aca="true" t="shared" si="0" ref="H17:H36">+IF(H$15=1,B17,E17)</f>
        <v>1111.9347664936993</v>
      </c>
    </row>
    <row r="18" spans="1:8" ht="15.75" customHeight="1">
      <c r="A18" s="146" t="str">
        <f>+info!C4</f>
        <v>Natural gas, traditional flue balanced, non modulating</v>
      </c>
      <c r="B18" s="233">
        <f>+'user1 calculation'!I28</f>
        <v>1067.7785122286066</v>
      </c>
      <c r="C18" s="234"/>
      <c r="D18" s="235"/>
      <c r="E18" s="233">
        <f>+'user1 calculation'!H28</f>
        <v>4374.584837545126</v>
      </c>
      <c r="F18" s="234"/>
      <c r="G18" s="235"/>
      <c r="H18" s="148">
        <f t="shared" si="0"/>
        <v>1067.7785122286066</v>
      </c>
    </row>
    <row r="19" spans="1:8" ht="15.75" customHeight="1">
      <c r="A19" s="146" t="str">
        <f>+info!C5</f>
        <v>Natural gas, traditional flue balanced modulating</v>
      </c>
      <c r="B19" s="233">
        <f>+'user1 calculation'!I29</f>
        <v>1043.2968179447055</v>
      </c>
      <c r="C19" s="234"/>
      <c r="D19" s="235"/>
      <c r="E19" s="233">
        <f>+'user1 calculation'!H29</f>
        <v>4274.285714285716</v>
      </c>
      <c r="F19" s="234"/>
      <c r="G19" s="235"/>
      <c r="H19" s="148">
        <f t="shared" si="0"/>
        <v>1043.2968179447055</v>
      </c>
    </row>
    <row r="20" spans="1:8" ht="15.75" customHeight="1">
      <c r="A20" s="146" t="str">
        <f>+info!C6</f>
        <v>Natural gas, condensing flue balanced non modulating</v>
      </c>
      <c r="B20" s="233">
        <f>+'user1 calculation'!I30</f>
        <v>999.2386752950136</v>
      </c>
      <c r="C20" s="234"/>
      <c r="D20" s="235"/>
      <c r="E20" s="233">
        <f>+'user1 calculation'!H30</f>
        <v>4093.783783783784</v>
      </c>
      <c r="F20" s="234"/>
      <c r="G20" s="235"/>
      <c r="H20" s="148">
        <f t="shared" si="0"/>
        <v>999.2386752950136</v>
      </c>
    </row>
    <row r="21" spans="1:8" ht="15.75" customHeight="1">
      <c r="A21" s="146" t="str">
        <f>+info!C7</f>
        <v>Natural gas,  condensing flue balanced modulating</v>
      </c>
      <c r="B21" s="233">
        <f>+'user1 calculation'!I31</f>
        <v>994.2004971002486</v>
      </c>
      <c r="C21" s="234"/>
      <c r="D21" s="235"/>
      <c r="E21" s="233">
        <f>+'user1 calculation'!H31</f>
        <v>4073.1428571428573</v>
      </c>
      <c r="F21" s="234"/>
      <c r="G21" s="235"/>
      <c r="H21" s="148">
        <f t="shared" si="0"/>
        <v>994.2004971002486</v>
      </c>
    </row>
    <row r="22" spans="1:8" ht="15.75" customHeight="1">
      <c r="A22" s="146" t="str">
        <f>+info!C8</f>
        <v>Natural gas,  gas radiator (flue less)</v>
      </c>
      <c r="B22" s="233">
        <f>+'user1 calculation'!I32</f>
        <v>1037.805782060786</v>
      </c>
      <c r="C22" s="234"/>
      <c r="D22" s="235"/>
      <c r="E22" s="233">
        <f>+'user1 calculation'!H32</f>
        <v>4251.789473684211</v>
      </c>
      <c r="F22" s="234"/>
      <c r="G22" s="235"/>
      <c r="H22" s="148">
        <f t="shared" si="0"/>
        <v>1037.805782060786</v>
      </c>
    </row>
    <row r="23" spans="1:8" ht="15.75" customHeight="1">
      <c r="A23" s="146" t="str">
        <f>+info!C9</f>
        <v>Natural gas,  gas radiator (flued)</v>
      </c>
      <c r="B23" s="233">
        <f>+'user1 calculation'!I33</f>
        <v>1095.4616588419408</v>
      </c>
      <c r="C23" s="234"/>
      <c r="D23" s="235"/>
      <c r="E23" s="233">
        <f>+'user1 calculation'!H33</f>
        <v>4488</v>
      </c>
      <c r="F23" s="234"/>
      <c r="G23" s="235"/>
      <c r="H23" s="148">
        <f t="shared" si="0"/>
        <v>1095.4616588419408</v>
      </c>
    </row>
    <row r="24" spans="1:8" ht="15.75" customHeight="1">
      <c r="A24" s="146" t="str">
        <f>+info!C10</f>
        <v>Natural gas,  gas heat pumps</v>
      </c>
      <c r="B24" s="233">
        <f>+'user1 calculation'!I34</f>
        <v>985.9154929577468</v>
      </c>
      <c r="C24" s="234"/>
      <c r="D24" s="235"/>
      <c r="E24" s="233">
        <f>+'user1 calculation'!H34</f>
        <v>4039.2000000000003</v>
      </c>
      <c r="F24" s="234"/>
      <c r="G24" s="235"/>
      <c r="H24" s="148">
        <f t="shared" si="0"/>
        <v>985.9154929577468</v>
      </c>
    </row>
    <row r="25" spans="1:8" ht="15.75" customHeight="1">
      <c r="A25" s="146" t="str">
        <f>+info!C11</f>
        <v>Natural gas,  micro CHP stearling</v>
      </c>
      <c r="B25" s="233">
        <f>+'user1 calculation'!I35</f>
        <v>985.9154929577468</v>
      </c>
      <c r="C25" s="234"/>
      <c r="D25" s="235"/>
      <c r="E25" s="233">
        <f>+'user1 calculation'!H35</f>
        <v>4039.2000000000003</v>
      </c>
      <c r="F25" s="234"/>
      <c r="G25" s="235"/>
      <c r="H25" s="148">
        <f t="shared" si="0"/>
        <v>985.9154929577468</v>
      </c>
    </row>
    <row r="26" spans="1:8" ht="15.75" customHeight="1">
      <c r="A26" s="146" t="str">
        <f>+info!C12</f>
        <v>Natural gas, micro CHP fuel cells</v>
      </c>
      <c r="B26" s="233">
        <f>+'user1 calculation'!I36</f>
        <v>985.9154929577468</v>
      </c>
      <c r="C26" s="234"/>
      <c r="D26" s="235"/>
      <c r="E26" s="233">
        <f>+'user1 calculation'!H36</f>
        <v>4039.2000000000003</v>
      </c>
      <c r="F26" s="234"/>
      <c r="G26" s="235"/>
      <c r="H26" s="148">
        <f t="shared" si="0"/>
        <v>985.9154929577468</v>
      </c>
    </row>
    <row r="27" spans="1:8" ht="15.75" customHeight="1">
      <c r="A27" s="146" t="str">
        <f>+info!C13</f>
        <v>Fuel oil,  traditional boiler</v>
      </c>
      <c r="B27" s="233">
        <f>+'user1 calculation'!I37</f>
        <v>1040.9772715716683</v>
      </c>
      <c r="C27" s="234"/>
      <c r="D27" s="235"/>
      <c r="E27" s="233">
        <f>+'user1 calculation'!H37</f>
        <v>5770.397111913358</v>
      </c>
      <c r="F27" s="234"/>
      <c r="G27" s="235"/>
      <c r="H27" s="148">
        <f t="shared" si="0"/>
        <v>1040.9772715716683</v>
      </c>
    </row>
    <row r="28" spans="1:8" ht="15.75" customHeight="1">
      <c r="A28" s="146" t="str">
        <f>+info!C14</f>
        <v>Fuel oil,  condensing boiler</v>
      </c>
      <c r="B28" s="233">
        <f>+'user1 calculation'!I38</f>
        <v>1008.2192455431895</v>
      </c>
      <c r="C28" s="234"/>
      <c r="D28" s="235"/>
      <c r="E28" s="233">
        <f>+'user1 calculation'!H38</f>
        <v>5588.81118881119</v>
      </c>
      <c r="F28" s="234"/>
      <c r="G28" s="235"/>
      <c r="H28" s="148">
        <f t="shared" si="0"/>
        <v>1008.2192455431895</v>
      </c>
    </row>
    <row r="29" spans="1:8" ht="15.75" customHeight="1">
      <c r="A29" s="146" t="str">
        <f>+info!C15</f>
        <v>Fuel oil, radiators</v>
      </c>
      <c r="B29" s="233">
        <f>+'user1 calculation'!I39</f>
        <v>961.169014084507</v>
      </c>
      <c r="C29" s="234"/>
      <c r="D29" s="235"/>
      <c r="E29" s="233">
        <f>+'user1 calculation'!H39</f>
        <v>5328</v>
      </c>
      <c r="F29" s="234"/>
      <c r="G29" s="235"/>
      <c r="H29" s="148">
        <f t="shared" si="0"/>
        <v>961.169014084507</v>
      </c>
    </row>
    <row r="30" spans="1:8" ht="15.75" customHeight="1">
      <c r="A30" s="146" t="str">
        <f>+info!C16</f>
        <v>Electrical boiler</v>
      </c>
      <c r="B30" s="233">
        <f>+'user1 calculation'!I40</f>
        <v>2897.593896713616</v>
      </c>
      <c r="C30" s="234"/>
      <c r="D30" s="235"/>
      <c r="E30" s="233">
        <f>+'user1 calculation'!H40</f>
        <v>10206.612052836253</v>
      </c>
      <c r="F30" s="234"/>
      <c r="G30" s="235"/>
      <c r="H30" s="148">
        <f t="shared" si="0"/>
        <v>2897.593896713616</v>
      </c>
    </row>
    <row r="31" spans="1:8" ht="15.75" customHeight="1">
      <c r="A31" s="146" t="str">
        <f>+info!C17</f>
        <v>Electrical radiators</v>
      </c>
      <c r="B31" s="233">
        <f>+'user1 calculation'!I41</f>
        <v>2882.58045683427</v>
      </c>
      <c r="C31" s="234"/>
      <c r="D31" s="235"/>
      <c r="E31" s="233">
        <f>+'user1 calculation'!H41</f>
        <v>10153.72805256249</v>
      </c>
      <c r="F31" s="234"/>
      <c r="G31" s="235"/>
      <c r="H31" s="148">
        <f t="shared" si="0"/>
        <v>2882.58045683427</v>
      </c>
    </row>
    <row r="32" spans="1:8" ht="15.75" customHeight="1">
      <c r="A32" s="146" t="str">
        <f>+info!C18</f>
        <v>Wood boiler with ventilator</v>
      </c>
      <c r="B32" s="233">
        <f>+'user1 calculation'!I42</f>
        <v>0</v>
      </c>
      <c r="C32" s="234"/>
      <c r="D32" s="235"/>
      <c r="E32" s="233">
        <f>+'user1 calculation'!H42</f>
        <v>0</v>
      </c>
      <c r="F32" s="234"/>
      <c r="G32" s="235"/>
      <c r="H32" s="148">
        <f t="shared" si="0"/>
        <v>0</v>
      </c>
    </row>
    <row r="33" spans="1:8" ht="15.75" customHeight="1">
      <c r="A33" s="146" t="str">
        <f>+info!C19</f>
        <v>Wood boiler without ventilator</v>
      </c>
      <c r="B33" s="233">
        <f>+'user1 calculation'!I43</f>
        <v>0</v>
      </c>
      <c r="C33" s="234"/>
      <c r="D33" s="235"/>
      <c r="E33" s="233">
        <f>+'user1 calculation'!H43</f>
        <v>0</v>
      </c>
      <c r="F33" s="234"/>
      <c r="G33" s="235"/>
      <c r="H33" s="148">
        <f t="shared" si="0"/>
        <v>0</v>
      </c>
    </row>
    <row r="34" spans="1:8" ht="15.75" customHeight="1">
      <c r="A34" s="146" t="str">
        <f>+info!C20</f>
        <v>Wood, other</v>
      </c>
      <c r="B34" s="233">
        <f>+'user1 calculation'!I44</f>
        <v>0</v>
      </c>
      <c r="C34" s="234"/>
      <c r="D34" s="235"/>
      <c r="E34" s="233">
        <f>+'user1 calculation'!H44</f>
        <v>0</v>
      </c>
      <c r="F34" s="234"/>
      <c r="G34" s="235"/>
      <c r="H34" s="148">
        <f t="shared" si="0"/>
        <v>0</v>
      </c>
    </row>
    <row r="35" spans="1:8" ht="15.75" customHeight="1">
      <c r="A35" s="146" t="str">
        <f>+info!C21</f>
        <v>District heating</v>
      </c>
      <c r="B35" s="233">
        <f>+'user1 calculation'!I45</f>
        <v>0</v>
      </c>
      <c r="C35" s="234"/>
      <c r="D35" s="235"/>
      <c r="E35" s="233">
        <f>+'user1 calculation'!H45</f>
        <v>8325.943274839667</v>
      </c>
      <c r="F35" s="234"/>
      <c r="G35" s="235"/>
      <c r="H35" s="148">
        <f t="shared" si="0"/>
        <v>0</v>
      </c>
    </row>
    <row r="36" spans="1:8" ht="15.75" customHeight="1">
      <c r="A36" s="146" t="str">
        <f>+IF(B9="","User-defined appliance",B9)</f>
        <v>User-defined appliance</v>
      </c>
      <c r="B36" s="233">
        <f>+'user1 calculation'!I46</f>
        <v>0</v>
      </c>
      <c r="C36" s="234"/>
      <c r="D36" s="235"/>
      <c r="E36" s="220"/>
      <c r="F36" s="236"/>
      <c r="G36" s="221"/>
      <c r="H36" s="148">
        <f t="shared" si="0"/>
        <v>0</v>
      </c>
    </row>
    <row r="38" spans="5:6" ht="12.75">
      <c r="E38" s="126" t="s">
        <v>491</v>
      </c>
      <c r="F38" s="91"/>
    </row>
    <row r="39" spans="5:6" ht="12.75">
      <c r="E39" s="126" t="s">
        <v>492</v>
      </c>
      <c r="F39" s="91"/>
    </row>
    <row r="40" spans="5:6" ht="12.75">
      <c r="E40" s="126" t="s">
        <v>493</v>
      </c>
      <c r="F40" s="91"/>
    </row>
    <row r="41" spans="5:6" ht="12.75">
      <c r="E41" s="126" t="s">
        <v>494</v>
      </c>
      <c r="F41" s="91"/>
    </row>
    <row r="42" ht="12.75">
      <c r="E42" s="91"/>
    </row>
  </sheetData>
  <mergeCells count="54">
    <mergeCell ref="A8:G8"/>
    <mergeCell ref="A1:E1"/>
    <mergeCell ref="A3:G3"/>
    <mergeCell ref="B5:G5"/>
    <mergeCell ref="B6:G6"/>
    <mergeCell ref="B14:F14"/>
    <mergeCell ref="B13:G13"/>
    <mergeCell ref="B9:G9"/>
    <mergeCell ref="B11:G11"/>
    <mergeCell ref="B12:G12"/>
    <mergeCell ref="B19:D19"/>
    <mergeCell ref="E19:G19"/>
    <mergeCell ref="B32:D32"/>
    <mergeCell ref="B26:D26"/>
    <mergeCell ref="B29:D29"/>
    <mergeCell ref="B23:D23"/>
    <mergeCell ref="B20:D20"/>
    <mergeCell ref="E20:G20"/>
    <mergeCell ref="B21:D21"/>
    <mergeCell ref="E21:G21"/>
    <mergeCell ref="B17:D17"/>
    <mergeCell ref="E17:G17"/>
    <mergeCell ref="B18:D18"/>
    <mergeCell ref="E18:G18"/>
    <mergeCell ref="B15:D15"/>
    <mergeCell ref="E15:G15"/>
    <mergeCell ref="B16:D16"/>
    <mergeCell ref="E16:G16"/>
    <mergeCell ref="B22:D22"/>
    <mergeCell ref="E22:G22"/>
    <mergeCell ref="E23:G23"/>
    <mergeCell ref="B24:D24"/>
    <mergeCell ref="E24:G24"/>
    <mergeCell ref="B25:D25"/>
    <mergeCell ref="E25:G25"/>
    <mergeCell ref="E26:G26"/>
    <mergeCell ref="B27:D27"/>
    <mergeCell ref="E27:G27"/>
    <mergeCell ref="B28:D28"/>
    <mergeCell ref="E28:G28"/>
    <mergeCell ref="E29:G29"/>
    <mergeCell ref="B30:D30"/>
    <mergeCell ref="E30:G30"/>
    <mergeCell ref="B31:D31"/>
    <mergeCell ref="E31:G31"/>
    <mergeCell ref="E32:G32"/>
    <mergeCell ref="B33:D33"/>
    <mergeCell ref="E33:G33"/>
    <mergeCell ref="B36:D36"/>
    <mergeCell ref="E36:G36"/>
    <mergeCell ref="B34:D34"/>
    <mergeCell ref="E34:G34"/>
    <mergeCell ref="B35:D35"/>
    <mergeCell ref="E35:G35"/>
  </mergeCells>
  <printOptions/>
  <pageMargins left="0" right="0" top="0" bottom="0" header="0" footer="0"/>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dimension ref="A1:I34"/>
  <sheetViews>
    <sheetView workbookViewId="0" topLeftCell="C15">
      <selection activeCell="C44" sqref="C44"/>
    </sheetView>
  </sheetViews>
  <sheetFormatPr defaultColWidth="11.421875" defaultRowHeight="12.75"/>
  <cols>
    <col min="1" max="1" width="16.7109375" style="0" customWidth="1"/>
    <col min="2" max="2" width="25.57421875" style="0" customWidth="1"/>
    <col min="3" max="3" width="45.8515625" style="0" customWidth="1"/>
    <col min="4" max="4" width="31.8515625" style="0" customWidth="1"/>
    <col min="5" max="5" width="9.140625" style="0" customWidth="1"/>
    <col min="6" max="6" width="14.00390625" style="0" bestFit="1" customWidth="1"/>
    <col min="7" max="16384" width="9.140625" style="0" customWidth="1"/>
  </cols>
  <sheetData>
    <row r="1" spans="1:8" ht="20.25">
      <c r="A1" s="136" t="s">
        <v>316</v>
      </c>
      <c r="B1" s="136" t="s">
        <v>318</v>
      </c>
      <c r="C1" s="136" t="s">
        <v>340</v>
      </c>
      <c r="D1" s="136" t="s">
        <v>344</v>
      </c>
      <c r="E1" s="136" t="s">
        <v>296</v>
      </c>
      <c r="H1" s="136" t="s">
        <v>202</v>
      </c>
    </row>
    <row r="2" spans="1:9" ht="12.75">
      <c r="A2" t="s">
        <v>172</v>
      </c>
      <c r="B2" t="s">
        <v>319</v>
      </c>
      <c r="C2" t="s">
        <v>321</v>
      </c>
      <c r="D2" t="str">
        <f>+IF(OR('END USERS, COST &amp; EMISSIONS'!B10&lt;15,'END USERS, COST &amp; EMISSIONS'!B10=17,'END USERS, COST &amp; EMISSIONS'!B10=18),"Full load efficiency (% net)","")</f>
        <v>Full load efficiency (% net)</v>
      </c>
      <c r="E2" t="s">
        <v>523</v>
      </c>
      <c r="F2">
        <f ca="1">+INDIRECT("'2 Appliances Market'!"&amp;ADDRESS(ROW('2 Appliances Market'!B27),$F$12+1))</f>
        <v>13143</v>
      </c>
      <c r="H2">
        <v>2008</v>
      </c>
      <c r="I2">
        <v>100</v>
      </c>
    </row>
    <row r="3" spans="1:9" ht="12.75">
      <c r="A3" t="s">
        <v>176</v>
      </c>
      <c r="B3" t="s">
        <v>320</v>
      </c>
      <c r="C3" t="s">
        <v>322</v>
      </c>
      <c r="D3" t="str">
        <f>+IF(OR('END USERS, COST &amp; EMISSIONS'!B10&lt;15,'END USERS, COST &amp; EMISSIONS'!B10=17,'END USERS, COST &amp; EMISSIONS'!B10=18),"Part load efficiency (% net)","")</f>
        <v>Part load efficiency (% net)</v>
      </c>
      <c r="E3" t="s">
        <v>524</v>
      </c>
      <c r="F3">
        <f ca="1">+INDIRECT("'2 Appliances Market'!"&amp;ADDRESS(ROW('2 Appliances Market'!B28),$F$12+1))</f>
        <v>1150</v>
      </c>
      <c r="H3">
        <v>2009</v>
      </c>
      <c r="I3">
        <f>+I2*0.98</f>
        <v>98</v>
      </c>
    </row>
    <row r="4" spans="1:9" ht="12.75">
      <c r="A4" t="s">
        <v>121</v>
      </c>
      <c r="C4" t="s">
        <v>323</v>
      </c>
      <c r="D4" t="str">
        <f>+IF(OR('END USERS, COST &amp; EMISSIONS'!B10&lt;15,'END USERS, COST &amp; EMISSIONS'!B10=17,'END USERS, COST &amp; EMISSIONS'!B10=18),"Electricity consumption (kWh/year)","")</f>
        <v>Electricity consumption (kWh/year)</v>
      </c>
      <c r="E4" t="s">
        <v>525</v>
      </c>
      <c r="F4">
        <f ca="1">+INDIRECT("'2 Appliances Market'!"&amp;ADDRESS(ROW('2 Appliances Market'!B29),$F$12+1))</f>
        <v>5412</v>
      </c>
      <c r="H4">
        <v>2010</v>
      </c>
      <c r="I4">
        <f>+I3*0.98</f>
        <v>96.03999999999999</v>
      </c>
    </row>
    <row r="5" spans="1:9" ht="12.75">
      <c r="A5" t="s">
        <v>481</v>
      </c>
      <c r="C5" t="s">
        <v>324</v>
      </c>
      <c r="E5" t="s">
        <v>526</v>
      </c>
      <c r="F5">
        <f ca="1">+INDIRECT("'2 Appliances Market'!"&amp;ADDRESS(ROW('2 Appliances Market'!B30),$F$12+1))</f>
        <v>0</v>
      </c>
      <c r="H5">
        <v>2011</v>
      </c>
      <c r="I5">
        <f>+I4*0.98</f>
        <v>94.11919999999999</v>
      </c>
    </row>
    <row r="6" spans="1:9" ht="12.75">
      <c r="A6" t="s">
        <v>179</v>
      </c>
      <c r="C6" t="s">
        <v>325</v>
      </c>
      <c r="E6" t="s">
        <v>243</v>
      </c>
      <c r="F6">
        <f ca="1">+INDIRECT("'2 Appliances Market'!"&amp;ADDRESS(ROW('2 Appliances Market'!B31),$F$12+1))</f>
        <v>1100</v>
      </c>
      <c r="H6">
        <v>2012</v>
      </c>
      <c r="I6">
        <f>+I5*0.98</f>
        <v>92.23681599999999</v>
      </c>
    </row>
    <row r="7" spans="1:6" ht="12.75">
      <c r="A7" t="s">
        <v>180</v>
      </c>
      <c r="C7" t="s">
        <v>326</v>
      </c>
      <c r="E7" t="s">
        <v>244</v>
      </c>
      <c r="F7">
        <f ca="1">+INDIRECT("'2 Appliances Market'!"&amp;ADDRESS(ROW('2 Appliances Market'!B32),$F$12+1))</f>
        <v>0</v>
      </c>
    </row>
    <row r="8" spans="1:6" ht="12.75">
      <c r="A8" t="s">
        <v>181</v>
      </c>
      <c r="C8" t="s">
        <v>529</v>
      </c>
      <c r="E8" t="s">
        <v>348</v>
      </c>
      <c r="F8">
        <f ca="1">+INDIRECT("'2 Appliances Market'!"&amp;ADDRESS(ROW('2 Appliances Market'!B33),$F$12+1))</f>
        <v>385</v>
      </c>
    </row>
    <row r="9" spans="1:6" ht="12.75">
      <c r="A9" t="s">
        <v>182</v>
      </c>
      <c r="C9" t="s">
        <v>530</v>
      </c>
      <c r="E9" t="s">
        <v>527</v>
      </c>
      <c r="F9">
        <f ca="1">+INDIRECT("'2 Appliances Market'!"&amp;ADDRESS(ROW('2 Appliances Market'!B34),$F$12+1))</f>
        <v>0</v>
      </c>
    </row>
    <row r="10" spans="1:6" ht="12.75">
      <c r="A10" t="s">
        <v>183</v>
      </c>
      <c r="C10" t="s">
        <v>329</v>
      </c>
      <c r="E10" t="s">
        <v>528</v>
      </c>
      <c r="F10">
        <f ca="1">+INDIRECT("'2 Appliances Market'!"&amp;ADDRESS(ROW('2 Appliances Market'!B35),$F$12+1))</f>
        <v>587</v>
      </c>
    </row>
    <row r="11" spans="1:3" ht="12.75">
      <c r="A11" t="s">
        <v>184</v>
      </c>
      <c r="C11" t="s">
        <v>330</v>
      </c>
    </row>
    <row r="12" spans="1:6" ht="12.75">
      <c r="A12" t="s">
        <v>185</v>
      </c>
      <c r="C12" t="s">
        <v>331</v>
      </c>
      <c r="E12" t="str">
        <f ca="1">+INDIRECT(ADDRESS('ENVIRONMENTAL IMPACT'!B3+1,COLUMN(A2)))</f>
        <v>UK</v>
      </c>
      <c r="F12">
        <f>+VLOOKUP(E12,E13:F32,2)</f>
        <v>15</v>
      </c>
    </row>
    <row r="13" spans="1:6" ht="12.75">
      <c r="A13" t="s">
        <v>186</v>
      </c>
      <c r="C13" t="s">
        <v>332</v>
      </c>
      <c r="E13" t="s">
        <v>209</v>
      </c>
      <c r="F13">
        <v>1</v>
      </c>
    </row>
    <row r="14" spans="1:6" ht="12.75">
      <c r="A14" t="s">
        <v>187</v>
      </c>
      <c r="C14" t="s">
        <v>333</v>
      </c>
      <c r="E14" t="s">
        <v>210</v>
      </c>
      <c r="F14">
        <v>2</v>
      </c>
    </row>
    <row r="15" spans="3:6" ht="12.75">
      <c r="C15" t="s">
        <v>336</v>
      </c>
      <c r="E15" t="s">
        <v>225</v>
      </c>
      <c r="F15">
        <v>18</v>
      </c>
    </row>
    <row r="16" spans="1:6" ht="12.75">
      <c r="A16" s="1" t="s">
        <v>105</v>
      </c>
      <c r="C16" t="s">
        <v>334</v>
      </c>
      <c r="E16" t="s">
        <v>211</v>
      </c>
      <c r="F16">
        <v>3</v>
      </c>
    </row>
    <row r="17" spans="1:6" ht="12.75">
      <c r="A17" t="str">
        <f>+IF('END USERS, COST &amp; EMISSIONS'!B4=3,"kr.",IF('END USERS, COST &amp; EMISSIONS'!B4=7,"¥",IF('END USERS, COST &amp; EMISSIONS'!B4=13,"$","€")))</f>
        <v>€</v>
      </c>
      <c r="C17" t="s">
        <v>335</v>
      </c>
      <c r="E17" t="s">
        <v>212</v>
      </c>
      <c r="F17">
        <v>4</v>
      </c>
    </row>
    <row r="18" spans="3:6" ht="12.75">
      <c r="C18" t="s">
        <v>337</v>
      </c>
      <c r="E18" t="s">
        <v>213</v>
      </c>
      <c r="F18">
        <v>5</v>
      </c>
    </row>
    <row r="19" spans="3:6" ht="12.75">
      <c r="C19" t="s">
        <v>338</v>
      </c>
      <c r="E19" t="s">
        <v>214</v>
      </c>
      <c r="F19">
        <v>6</v>
      </c>
    </row>
    <row r="20" spans="3:6" ht="12.75">
      <c r="C20" t="s">
        <v>339</v>
      </c>
      <c r="E20" t="s">
        <v>215</v>
      </c>
      <c r="F20">
        <v>7</v>
      </c>
    </row>
    <row r="21" spans="3:6" ht="12.75">
      <c r="C21" t="s">
        <v>114</v>
      </c>
      <c r="E21" t="s">
        <v>216</v>
      </c>
      <c r="F21">
        <v>8</v>
      </c>
    </row>
    <row r="22" spans="5:6" ht="12.75">
      <c r="E22" t="s">
        <v>217</v>
      </c>
      <c r="F22">
        <v>9</v>
      </c>
    </row>
    <row r="23" spans="5:6" ht="12.75">
      <c r="E23" t="s">
        <v>218</v>
      </c>
      <c r="F23">
        <v>10</v>
      </c>
    </row>
    <row r="24" spans="5:6" ht="12.75">
      <c r="E24" t="s">
        <v>219</v>
      </c>
      <c r="F24">
        <v>11</v>
      </c>
    </row>
    <row r="25" spans="5:6" ht="12.75">
      <c r="E25" t="s">
        <v>184</v>
      </c>
      <c r="F25">
        <v>20</v>
      </c>
    </row>
    <row r="26" spans="3:6" ht="12.75">
      <c r="C26" t="s">
        <v>430</v>
      </c>
      <c r="E26" t="s">
        <v>220</v>
      </c>
      <c r="F26">
        <v>12</v>
      </c>
    </row>
    <row r="27" spans="3:6" ht="12.75">
      <c r="C27" t="s">
        <v>431</v>
      </c>
      <c r="E27" t="s">
        <v>221</v>
      </c>
      <c r="F27">
        <v>13</v>
      </c>
    </row>
    <row r="28" spans="3:6" ht="12.75">
      <c r="C28" t="s">
        <v>432</v>
      </c>
      <c r="E28" t="s">
        <v>222</v>
      </c>
      <c r="F28">
        <v>14</v>
      </c>
    </row>
    <row r="29" spans="3:6" ht="12.75">
      <c r="C29" t="s">
        <v>433</v>
      </c>
      <c r="E29" t="s">
        <v>186</v>
      </c>
      <c r="F29">
        <v>15</v>
      </c>
    </row>
    <row r="30" spans="3:6" ht="12.75">
      <c r="C30" t="s">
        <v>332</v>
      </c>
      <c r="E30" t="s">
        <v>187</v>
      </c>
      <c r="F30">
        <v>16</v>
      </c>
    </row>
    <row r="31" spans="1:3" ht="12.75">
      <c r="A31" s="177" t="s">
        <v>426</v>
      </c>
      <c r="B31" s="177" t="s">
        <v>427</v>
      </c>
      <c r="C31" t="s">
        <v>347</v>
      </c>
    </row>
    <row r="32" spans="1:3" ht="12.75">
      <c r="A32" s="177" t="s">
        <v>428</v>
      </c>
      <c r="B32" s="177"/>
      <c r="C32" t="s">
        <v>348</v>
      </c>
    </row>
    <row r="33" spans="1:3" ht="12.75">
      <c r="A33" s="177" t="s">
        <v>429</v>
      </c>
      <c r="B33" s="177"/>
      <c r="C33" t="s">
        <v>349</v>
      </c>
    </row>
    <row r="34" ht="12.75">
      <c r="C34" t="s">
        <v>334</v>
      </c>
    </row>
  </sheetData>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AE84"/>
  <sheetViews>
    <sheetView workbookViewId="0" topLeftCell="D1">
      <selection activeCell="G14" sqref="G14"/>
    </sheetView>
  </sheetViews>
  <sheetFormatPr defaultColWidth="11.421875" defaultRowHeight="12.75"/>
  <cols>
    <col min="1" max="1" width="46.00390625" style="0" customWidth="1"/>
    <col min="2" max="2" width="16.421875" style="0" customWidth="1"/>
    <col min="3" max="3" width="38.7109375" style="0" customWidth="1"/>
    <col min="4" max="4" width="22.421875" style="0" customWidth="1"/>
    <col min="5" max="6" width="9.140625" style="0" customWidth="1"/>
    <col min="7" max="7" width="11.00390625" style="0" bestFit="1" customWidth="1"/>
    <col min="8" max="8" width="9.140625" style="0" customWidth="1"/>
    <col min="9" max="9" width="9.57421875" style="0" bestFit="1" customWidth="1"/>
    <col min="10" max="12" width="9.140625" style="0" customWidth="1"/>
    <col min="13" max="13" width="11.00390625" style="0" bestFit="1" customWidth="1"/>
    <col min="14" max="16384" width="9.140625" style="0" customWidth="1"/>
  </cols>
  <sheetData>
    <row r="1" spans="1:22" ht="12.75">
      <c r="A1" t="s">
        <v>120</v>
      </c>
      <c r="B1" t="s">
        <v>473</v>
      </c>
      <c r="C1" t="s">
        <v>351</v>
      </c>
      <c r="V1" t="s">
        <v>421</v>
      </c>
    </row>
    <row r="2" spans="1:31" ht="12.75">
      <c r="A2" t="str">
        <f>+info!E12</f>
        <v>UK</v>
      </c>
      <c r="B2">
        <f>+info!F12</f>
        <v>15</v>
      </c>
      <c r="C2">
        <f>+'ENVIRONMENTAL IMPACT'!B3</f>
        <v>12</v>
      </c>
      <c r="M2" t="s">
        <v>422</v>
      </c>
      <c r="V2">
        <f>+'ENVIRONMENTAL IMPACT'!A30</f>
        <v>5</v>
      </c>
      <c r="W2">
        <f>+'ENVIRONMENTAL IMPACT'!F30</f>
        <v>50</v>
      </c>
      <c r="X2">
        <f ca="1">+ROUND(INDIRECT(ADDRESS(14+$V2,COLUMN(G15)))*$W2/100,0)</f>
        <v>550</v>
      </c>
      <c r="Y2">
        <f aca="true" ca="1" t="shared" si="0" ref="Y2:Y11">+ROUND(INDIRECT(ADDRESS(14+$V2,COLUMN(H15)))*$W2/100,0)</f>
        <v>220</v>
      </c>
      <c r="Z2">
        <f aca="true" ca="1" t="shared" si="1" ref="Z2:Z11">+ROUND(INDIRECT(ADDRESS(14+$V2,COLUMN(I15)))*$W2/100,0)</f>
        <v>88</v>
      </c>
      <c r="AA2">
        <f aca="true" ca="1" t="shared" si="2" ref="AA2:AA11">+ROUND(INDIRECT(ADDRESS(14+$V2,COLUMN(J15)))*$W2/100,0)</f>
        <v>35</v>
      </c>
      <c r="AB2">
        <f aca="true" ca="1" t="shared" si="3" ref="AB2:AB11">+ROUND(INDIRECT(ADDRESS(14+$V2,COLUMN(K15)))*$W2/100,0)</f>
        <v>14</v>
      </c>
      <c r="AC2">
        <f>+'ENVIRONMENTAL IMPACT'!H30</f>
        <v>5</v>
      </c>
      <c r="AD2">
        <f aca="true" ca="1" t="shared" si="4" ref="AD2:AD11">+INDIRECT(ADDRESS(14+V2,COLUMN(G15)))</f>
        <v>1100</v>
      </c>
      <c r="AE2">
        <f aca="true" ca="1" t="shared" si="5" ref="AE2:AE11">+IF(INDIRECT(ADDRESS(14+V2,COLUMN(C15)))=0,0,(INDIRECT(ADDRESS(14+V2,COLUMN(C15)))*INDIRECT(ADDRESS(14+V2,COLUMN(E15)))))</f>
        <v>18466.666666666668</v>
      </c>
    </row>
    <row r="3" spans="7:31" ht="12.75">
      <c r="G3">
        <v>2008</v>
      </c>
      <c r="H3">
        <f>+G3+1</f>
        <v>2009</v>
      </c>
      <c r="I3">
        <f>+H3+1</f>
        <v>2010</v>
      </c>
      <c r="J3">
        <f>+I3+1</f>
        <v>2011</v>
      </c>
      <c r="K3">
        <f>+J3+1</f>
        <v>2012</v>
      </c>
      <c r="M3">
        <f>+G3</f>
        <v>2008</v>
      </c>
      <c r="N3">
        <f>+H3</f>
        <v>2009</v>
      </c>
      <c r="O3">
        <f>+I3</f>
        <v>2010</v>
      </c>
      <c r="P3">
        <f>+J3</f>
        <v>2011</v>
      </c>
      <c r="Q3">
        <f>+K3</f>
        <v>2012</v>
      </c>
      <c r="V3">
        <f>+'ENVIRONMENTAL IMPACT'!A31</f>
        <v>5</v>
      </c>
      <c r="W3">
        <f>+'ENVIRONMENTAL IMPACT'!F31</f>
        <v>10</v>
      </c>
      <c r="X3">
        <f aca="true" ca="1" t="shared" si="6" ref="X3:X11">+ROUND(INDIRECT(ADDRESS(14+$V3,COLUMN(G16)))*$W3/100,0)</f>
        <v>110</v>
      </c>
      <c r="Y3">
        <f ca="1" t="shared" si="0"/>
        <v>44</v>
      </c>
      <c r="Z3">
        <f ca="1" t="shared" si="1"/>
        <v>18</v>
      </c>
      <c r="AA3">
        <f ca="1" t="shared" si="2"/>
        <v>7</v>
      </c>
      <c r="AB3">
        <f ca="1" t="shared" si="3"/>
        <v>3</v>
      </c>
      <c r="AC3">
        <f>+'ENVIRONMENTAL IMPACT'!H31</f>
        <v>6</v>
      </c>
      <c r="AD3">
        <f ca="1" t="shared" si="4"/>
        <v>1100</v>
      </c>
      <c r="AE3">
        <f ca="1" t="shared" si="5"/>
        <v>18466.666666666668</v>
      </c>
    </row>
    <row r="4" spans="1:31" ht="12.75">
      <c r="A4" s="103" t="s">
        <v>230</v>
      </c>
      <c r="B4" t="s">
        <v>352</v>
      </c>
      <c r="C4" t="s">
        <v>412</v>
      </c>
      <c r="D4" t="s">
        <v>418</v>
      </c>
      <c r="E4" t="s">
        <v>419</v>
      </c>
      <c r="G4" s="171"/>
      <c r="M4" s="171">
        <f>+SUM(M5:M45)/1000000000</f>
        <v>122.45862864885945</v>
      </c>
      <c r="N4" s="171">
        <f>+SUM(N5:N45)/1000000000</f>
        <v>121.14282196271866</v>
      </c>
      <c r="O4" s="171">
        <f>+SUM(O5:O45)/1000000000</f>
        <v>120.61649928826232</v>
      </c>
      <c r="P4" s="171">
        <f>+SUM(P5:P45)/1000000000</f>
        <v>120.40516640706362</v>
      </c>
      <c r="Q4" s="171">
        <f>+SUM(Q5:Q45)/1000000000</f>
        <v>120.32143325430918</v>
      </c>
      <c r="V4">
        <f>+'ENVIRONMENTAL IMPACT'!A32</f>
        <v>10</v>
      </c>
      <c r="W4">
        <f>+'ENVIRONMENTAL IMPACT'!F32</f>
        <v>0</v>
      </c>
      <c r="X4">
        <f ca="1" t="shared" si="6"/>
        <v>0</v>
      </c>
      <c r="Y4">
        <f ca="1" t="shared" si="0"/>
        <v>0</v>
      </c>
      <c r="Z4">
        <f ca="1" t="shared" si="1"/>
        <v>0</v>
      </c>
      <c r="AA4">
        <f ca="1" t="shared" si="2"/>
        <v>0</v>
      </c>
      <c r="AB4">
        <f ca="1" t="shared" si="3"/>
        <v>0</v>
      </c>
      <c r="AC4">
        <f>+'ENVIRONMENTAL IMPACT'!H32</f>
        <v>21</v>
      </c>
      <c r="AD4">
        <f ca="1" t="shared" si="4"/>
        <v>0</v>
      </c>
      <c r="AE4">
        <f ca="1" t="shared" si="5"/>
        <v>0</v>
      </c>
    </row>
    <row r="5" spans="1:31" ht="12.75">
      <c r="A5" s="104" t="s">
        <v>231</v>
      </c>
      <c r="B5" s="158">
        <f ca="1">+INDIRECT("'2 Appliances Market'!"&amp;ADDRESS(ROW('2 Appliances Market'!B17),COLUMN('2 Appliances Market'!B17)+'user2 calculation'!$B$2-1))</f>
        <v>0</v>
      </c>
      <c r="C5" s="169">
        <v>20000</v>
      </c>
      <c r="D5">
        <f>+(B54*C54+B56*C56+B58*C58)/(B54+B56+B58)/E5</f>
        <v>95.16569281987147</v>
      </c>
      <c r="E5">
        <f>+IF(E45=0,1,E45)</f>
        <v>1</v>
      </c>
      <c r="G5" s="172">
        <f>+B5</f>
        <v>0</v>
      </c>
      <c r="H5">
        <f>+G5</f>
        <v>0</v>
      </c>
      <c r="I5">
        <f>+H5</f>
        <v>0</v>
      </c>
      <c r="J5">
        <f>+I5</f>
        <v>0</v>
      </c>
      <c r="K5">
        <f>+J5</f>
        <v>0</v>
      </c>
      <c r="M5" s="171">
        <f>+G5*$C5*3.6*$D5</f>
        <v>0</v>
      </c>
      <c r="N5" s="171">
        <f aca="true" t="shared" si="7" ref="N5:Q8">+H5*$C5*3.6*$D5</f>
        <v>0</v>
      </c>
      <c r="O5" s="171">
        <f t="shared" si="7"/>
        <v>0</v>
      </c>
      <c r="P5" s="171">
        <f t="shared" si="7"/>
        <v>0</v>
      </c>
      <c r="Q5" s="171">
        <f t="shared" si="7"/>
        <v>0</v>
      </c>
      <c r="V5">
        <f>+'ENVIRONMENTAL IMPACT'!A33</f>
        <v>10</v>
      </c>
      <c r="W5">
        <f>+'ENVIRONMENTAL IMPACT'!F33</f>
        <v>0</v>
      </c>
      <c r="X5">
        <f ca="1" t="shared" si="6"/>
        <v>0</v>
      </c>
      <c r="Y5">
        <f ca="1" t="shared" si="0"/>
        <v>0</v>
      </c>
      <c r="Z5">
        <f ca="1" t="shared" si="1"/>
        <v>0</v>
      </c>
      <c r="AA5">
        <f ca="1" t="shared" si="2"/>
        <v>0</v>
      </c>
      <c r="AB5">
        <f ca="1" t="shared" si="3"/>
        <v>0</v>
      </c>
      <c r="AC5">
        <f>+'ENVIRONMENTAL IMPACT'!H33</f>
        <v>21</v>
      </c>
      <c r="AD5">
        <f ca="1" t="shared" si="4"/>
        <v>0</v>
      </c>
      <c r="AE5">
        <f ca="1" t="shared" si="5"/>
        <v>0</v>
      </c>
    </row>
    <row r="6" spans="1:31" ht="12.75">
      <c r="A6" s="104" t="s">
        <v>232</v>
      </c>
      <c r="B6" s="158">
        <f ca="1">+INDIRECT("'2 Appliances Market'!"&amp;ADDRESS(ROW('2 Appliances Market'!B18),COLUMN('2 Appliances Market'!B18)+'user2 calculation'!$B$2-1))</f>
        <v>147</v>
      </c>
      <c r="C6" s="169">
        <v>20000</v>
      </c>
      <c r="D6">
        <f>+(B53*B82/B77+B55*B83/B78+B57*B84/B79)/(B53+B55+B57)</f>
        <v>95.99252981579107</v>
      </c>
      <c r="G6" s="172">
        <f>+B6</f>
        <v>147</v>
      </c>
      <c r="H6">
        <f aca="true" t="shared" si="8" ref="H6:K8">+G6</f>
        <v>147</v>
      </c>
      <c r="I6">
        <f t="shared" si="8"/>
        <v>147</v>
      </c>
      <c r="J6">
        <f t="shared" si="8"/>
        <v>147</v>
      </c>
      <c r="K6">
        <f t="shared" si="8"/>
        <v>147</v>
      </c>
      <c r="M6" s="171">
        <f>+G6*$C6*3.6*$D6</f>
        <v>1015984935.5703328</v>
      </c>
      <c r="N6" s="171">
        <f t="shared" si="7"/>
        <v>1015984935.5703328</v>
      </c>
      <c r="O6" s="171">
        <f t="shared" si="7"/>
        <v>1015984935.5703328</v>
      </c>
      <c r="P6" s="171">
        <f t="shared" si="7"/>
        <v>1015984935.5703328</v>
      </c>
      <c r="Q6" s="171">
        <f t="shared" si="7"/>
        <v>1015984935.5703328</v>
      </c>
      <c r="V6">
        <f>+'ENVIRONMENTAL IMPACT'!A34</f>
        <v>10</v>
      </c>
      <c r="W6">
        <f>+'ENVIRONMENTAL IMPACT'!F34</f>
        <v>0</v>
      </c>
      <c r="X6">
        <f ca="1" t="shared" si="6"/>
        <v>0</v>
      </c>
      <c r="Y6">
        <f ca="1" t="shared" si="0"/>
        <v>0</v>
      </c>
      <c r="Z6">
        <f ca="1" t="shared" si="1"/>
        <v>0</v>
      </c>
      <c r="AA6">
        <f ca="1" t="shared" si="2"/>
        <v>0</v>
      </c>
      <c r="AB6">
        <f ca="1" t="shared" si="3"/>
        <v>0</v>
      </c>
      <c r="AC6">
        <f>+'ENVIRONMENTAL IMPACT'!H34</f>
        <v>21</v>
      </c>
      <c r="AD6">
        <f ca="1" t="shared" si="4"/>
        <v>0</v>
      </c>
      <c r="AE6">
        <f ca="1" t="shared" si="5"/>
        <v>0</v>
      </c>
    </row>
    <row r="7" spans="1:31" ht="12.75">
      <c r="A7" s="104" t="s">
        <v>233</v>
      </c>
      <c r="B7" s="158">
        <f ca="1">+INDIRECT("'2 Appliances Market'!"&amp;ADDRESS(ROW('2 Appliances Market'!B19),COLUMN('2 Appliances Market'!B19)+'user2 calculation'!$B$2-1))</f>
        <v>1515</v>
      </c>
      <c r="C7" s="169">
        <v>20000</v>
      </c>
      <c r="D7">
        <f>+C66</f>
        <v>132.160738566234</v>
      </c>
      <c r="G7" s="172">
        <f>+B7</f>
        <v>1515</v>
      </c>
      <c r="H7">
        <f t="shared" si="8"/>
        <v>1515</v>
      </c>
      <c r="I7">
        <f t="shared" si="8"/>
        <v>1515</v>
      </c>
      <c r="J7">
        <f t="shared" si="8"/>
        <v>1515</v>
      </c>
      <c r="K7">
        <f t="shared" si="8"/>
        <v>1515</v>
      </c>
      <c r="M7" s="171">
        <f>+G7*$C7*3.6*$D7</f>
        <v>14416093362.804804</v>
      </c>
      <c r="N7" s="171">
        <f t="shared" si="7"/>
        <v>14416093362.804804</v>
      </c>
      <c r="O7" s="171">
        <f t="shared" si="7"/>
        <v>14416093362.804804</v>
      </c>
      <c r="P7" s="171">
        <f t="shared" si="7"/>
        <v>14416093362.804804</v>
      </c>
      <c r="Q7" s="171">
        <f t="shared" si="7"/>
        <v>14416093362.804804</v>
      </c>
      <c r="V7">
        <f>+'ENVIRONMENTAL IMPACT'!A35</f>
        <v>10</v>
      </c>
      <c r="W7">
        <f>+'ENVIRONMENTAL IMPACT'!F35</f>
        <v>0</v>
      </c>
      <c r="X7">
        <f ca="1" t="shared" si="6"/>
        <v>0</v>
      </c>
      <c r="Y7">
        <f ca="1" t="shared" si="0"/>
        <v>0</v>
      </c>
      <c r="Z7">
        <f ca="1" t="shared" si="1"/>
        <v>0</v>
      </c>
      <c r="AA7">
        <f ca="1" t="shared" si="2"/>
        <v>0</v>
      </c>
      <c r="AB7">
        <f ca="1" t="shared" si="3"/>
        <v>0</v>
      </c>
      <c r="AC7">
        <f>+'ENVIRONMENTAL IMPACT'!H35</f>
        <v>21</v>
      </c>
      <c r="AD7">
        <f ca="1" t="shared" si="4"/>
        <v>0</v>
      </c>
      <c r="AE7">
        <f ca="1" t="shared" si="5"/>
        <v>0</v>
      </c>
    </row>
    <row r="8" spans="1:31" ht="12.75">
      <c r="A8" s="104" t="s">
        <v>234</v>
      </c>
      <c r="B8" s="158">
        <f ca="1">+INDIRECT("'2 Appliances Market'!"&amp;ADDRESS(ROW('2 Appliances Market'!B20),COLUMN('2 Appliances Market'!B20)+'user2 calculation'!$B$2-1))</f>
        <v>408</v>
      </c>
      <c r="C8" s="169">
        <v>20000</v>
      </c>
      <c r="D8">
        <f>+B82/E8</f>
        <v>62.333333333333336</v>
      </c>
      <c r="E8" s="162">
        <f>+'1 Data'!N12/100</f>
        <v>0.9</v>
      </c>
      <c r="G8" s="172">
        <f>+B8</f>
        <v>408</v>
      </c>
      <c r="H8">
        <f t="shared" si="8"/>
        <v>408</v>
      </c>
      <c r="I8">
        <f t="shared" si="8"/>
        <v>408</v>
      </c>
      <c r="J8">
        <f t="shared" si="8"/>
        <v>408</v>
      </c>
      <c r="K8">
        <f t="shared" si="8"/>
        <v>408</v>
      </c>
      <c r="M8" s="171">
        <f>+G8*$C8*3.6*$D8</f>
        <v>1831104000</v>
      </c>
      <c r="N8" s="171">
        <f t="shared" si="7"/>
        <v>1831104000</v>
      </c>
      <c r="O8" s="171">
        <f t="shared" si="7"/>
        <v>1831104000</v>
      </c>
      <c r="P8" s="171">
        <f t="shared" si="7"/>
        <v>1831104000</v>
      </c>
      <c r="Q8" s="171">
        <f t="shared" si="7"/>
        <v>1831104000</v>
      </c>
      <c r="V8">
        <f>+'ENVIRONMENTAL IMPACT'!A36</f>
        <v>10</v>
      </c>
      <c r="W8">
        <f>+'ENVIRONMENTAL IMPACT'!F36</f>
        <v>0</v>
      </c>
      <c r="X8">
        <f ca="1" t="shared" si="6"/>
        <v>0</v>
      </c>
      <c r="Y8">
        <f ca="1" t="shared" si="0"/>
        <v>0</v>
      </c>
      <c r="Z8">
        <f ca="1" t="shared" si="1"/>
        <v>0</v>
      </c>
      <c r="AA8">
        <f ca="1" t="shared" si="2"/>
        <v>0</v>
      </c>
      <c r="AB8">
        <f ca="1" t="shared" si="3"/>
        <v>0</v>
      </c>
      <c r="AC8">
        <f>+'ENVIRONMENTAL IMPACT'!H36</f>
        <v>21</v>
      </c>
      <c r="AD8">
        <f ca="1" t="shared" si="4"/>
        <v>0</v>
      </c>
      <c r="AE8">
        <f ca="1" t="shared" si="5"/>
        <v>0</v>
      </c>
    </row>
    <row r="9" spans="1:31" ht="12.75">
      <c r="A9" s="104" t="s">
        <v>235</v>
      </c>
      <c r="B9" s="158">
        <f ca="1">+INDIRECT("'2 Appliances Market'!"&amp;ADDRESS(ROW('2 Appliances Market'!B21),COLUMN('2 Appliances Market'!B21)+'user2 calculation'!$B$2-1))</f>
        <v>21777</v>
      </c>
      <c r="C9" s="170"/>
      <c r="G9" s="172"/>
      <c r="V9">
        <f>+'ENVIRONMENTAL IMPACT'!A37</f>
        <v>10</v>
      </c>
      <c r="W9">
        <f>+'ENVIRONMENTAL IMPACT'!F37</f>
        <v>0</v>
      </c>
      <c r="X9">
        <f ca="1" t="shared" si="6"/>
        <v>0</v>
      </c>
      <c r="Y9">
        <f ca="1" t="shared" si="0"/>
        <v>0</v>
      </c>
      <c r="Z9">
        <f ca="1" t="shared" si="1"/>
        <v>0</v>
      </c>
      <c r="AA9">
        <f ca="1" t="shared" si="2"/>
        <v>0</v>
      </c>
      <c r="AB9">
        <f ca="1" t="shared" si="3"/>
        <v>0</v>
      </c>
      <c r="AC9">
        <f>+'ENVIRONMENTAL IMPACT'!H37</f>
        <v>21</v>
      </c>
      <c r="AD9">
        <f ca="1" t="shared" si="4"/>
        <v>0</v>
      </c>
      <c r="AE9">
        <f ca="1" t="shared" si="5"/>
        <v>0</v>
      </c>
    </row>
    <row r="10" spans="1:31" ht="12.75">
      <c r="A10" s="104" t="s">
        <v>236</v>
      </c>
      <c r="B10" s="158">
        <f ca="1">+INDIRECT("'2 Appliances Market'!"&amp;ADDRESS(ROW('2 Appliances Market'!B22),COLUMN('2 Appliances Market'!B22)+'user2 calculation'!$B$2-1))</f>
        <v>1208</v>
      </c>
      <c r="C10" s="169">
        <v>20000</v>
      </c>
      <c r="D10">
        <f>+B83/E10</f>
        <v>82.22222222222221</v>
      </c>
      <c r="E10" s="162">
        <f>+E8</f>
        <v>0.9</v>
      </c>
      <c r="G10" s="172">
        <f>+B10</f>
        <v>1208</v>
      </c>
      <c r="H10">
        <f>+G10</f>
        <v>1208</v>
      </c>
      <c r="I10">
        <f>+H10</f>
        <v>1208</v>
      </c>
      <c r="J10">
        <f>+I10</f>
        <v>1208</v>
      </c>
      <c r="K10">
        <f>+J10</f>
        <v>1208</v>
      </c>
      <c r="M10" s="171">
        <f>+G10*$C10*3.6*$D10</f>
        <v>7151359999.999999</v>
      </c>
      <c r="N10" s="171">
        <f>+H10*$C10*3.6*$D10</f>
        <v>7151359999.999999</v>
      </c>
      <c r="O10" s="171">
        <f>+I10*$C10*3.6*$D10</f>
        <v>7151359999.999999</v>
      </c>
      <c r="P10" s="171">
        <f>+J10*$C10*3.6*$D10</f>
        <v>7151359999.999999</v>
      </c>
      <c r="Q10" s="171">
        <f>+K10*$C10*3.6*$D10</f>
        <v>7151359999.999999</v>
      </c>
      <c r="V10">
        <f>+'ENVIRONMENTAL IMPACT'!A38</f>
        <v>10</v>
      </c>
      <c r="W10">
        <f>+'ENVIRONMENTAL IMPACT'!F38</f>
        <v>0</v>
      </c>
      <c r="X10">
        <f ca="1" t="shared" si="6"/>
        <v>0</v>
      </c>
      <c r="Y10">
        <f ca="1" t="shared" si="0"/>
        <v>0</v>
      </c>
      <c r="Z10">
        <f ca="1" t="shared" si="1"/>
        <v>0</v>
      </c>
      <c r="AA10">
        <f ca="1" t="shared" si="2"/>
        <v>0</v>
      </c>
      <c r="AB10">
        <f ca="1" t="shared" si="3"/>
        <v>0</v>
      </c>
      <c r="AC10">
        <f>+'ENVIRONMENTAL IMPACT'!H38</f>
        <v>21</v>
      </c>
      <c r="AD10">
        <f ca="1" t="shared" si="4"/>
        <v>0</v>
      </c>
      <c r="AE10">
        <f ca="1" t="shared" si="5"/>
        <v>0</v>
      </c>
    </row>
    <row r="11" spans="1:31" ht="12.75">
      <c r="A11" s="111" t="s">
        <v>237</v>
      </c>
      <c r="B11" s="158">
        <f ca="1">+INDIRECT("'2 Appliances Market'!"&amp;ADDRESS(ROW('2 Appliances Market'!B23),COLUMN('2 Appliances Market'!B23)+'user2 calculation'!$B$2-1))</f>
        <v>25055</v>
      </c>
      <c r="G11" s="172"/>
      <c r="V11">
        <f>+'ENVIRONMENTAL IMPACT'!A39</f>
        <v>10</v>
      </c>
      <c r="W11">
        <f>+'ENVIRONMENTAL IMPACT'!F39</f>
        <v>0</v>
      </c>
      <c r="X11">
        <f ca="1" t="shared" si="6"/>
        <v>0</v>
      </c>
      <c r="Y11">
        <f ca="1" t="shared" si="0"/>
        <v>0</v>
      </c>
      <c r="Z11">
        <f ca="1" t="shared" si="1"/>
        <v>0</v>
      </c>
      <c r="AA11">
        <f ca="1" t="shared" si="2"/>
        <v>0</v>
      </c>
      <c r="AB11">
        <f ca="1" t="shared" si="3"/>
        <v>0</v>
      </c>
      <c r="AC11">
        <f>+'ENVIRONMENTAL IMPACT'!H39</f>
        <v>21</v>
      </c>
      <c r="AD11">
        <f ca="1" t="shared" si="4"/>
        <v>0</v>
      </c>
      <c r="AE11">
        <f ca="1" t="shared" si="5"/>
        <v>0</v>
      </c>
    </row>
    <row r="12" spans="1:7" ht="12.75">
      <c r="A12" s="102"/>
      <c r="B12" s="158"/>
      <c r="G12" s="172"/>
    </row>
    <row r="13" spans="1:7" ht="12.75">
      <c r="A13" s="102"/>
      <c r="B13" s="158"/>
      <c r="G13" s="172"/>
    </row>
    <row r="14" spans="1:7" ht="12.75">
      <c r="A14" s="103" t="s">
        <v>238</v>
      </c>
      <c r="B14" s="158"/>
      <c r="G14" s="172"/>
    </row>
    <row r="15" spans="1:26" ht="12.75">
      <c r="A15" s="104" t="s">
        <v>239</v>
      </c>
      <c r="B15" s="158">
        <f ca="1">+INDIRECT("'2 Appliances Market'!"&amp;ADDRESS(ROW('2 Appliances Market'!B27),COLUMN('2 Appliances Market'!B27)+'user2 calculation'!$B$2-1))</f>
        <v>13143</v>
      </c>
      <c r="C15" s="169">
        <v>20000</v>
      </c>
      <c r="D15">
        <f>+B82/E15</f>
        <v>60.758122743682314</v>
      </c>
      <c r="E15">
        <f>+'1 Data'!H81/100</f>
        <v>0.9233333333333333</v>
      </c>
      <c r="G15" s="172">
        <f aca="true" t="shared" si="9" ref="G15:G23">+B15</f>
        <v>13143</v>
      </c>
      <c r="H15">
        <f aca="true" t="shared" si="10" ref="H15:H23">+G15-V15</f>
        <v>13143</v>
      </c>
      <c r="I15">
        <f aca="true" t="shared" si="11" ref="I15:I23">+H15-W15</f>
        <v>13143</v>
      </c>
      <c r="J15">
        <f aca="true" t="shared" si="12" ref="J15:J23">+I15-X15</f>
        <v>13143</v>
      </c>
      <c r="K15">
        <f aca="true" t="shared" si="13" ref="K15:K23">+J15-Y15</f>
        <v>13143</v>
      </c>
      <c r="M15" s="171">
        <f aca="true" t="shared" si="14" ref="M15:M23">+G15*$C15*3.6*$D15</f>
        <v>57495168519.8556</v>
      </c>
      <c r="N15" s="171">
        <f aca="true" t="shared" si="15" ref="N15:N23">+H15*$C15*3.6*$D15</f>
        <v>57495168519.8556</v>
      </c>
      <c r="O15" s="171">
        <f aca="true" t="shared" si="16" ref="O15:O23">+I15*$C15*3.6*$D15</f>
        <v>57495168519.8556</v>
      </c>
      <c r="P15" s="171">
        <f aca="true" t="shared" si="17" ref="P15:P23">+J15*$C15*3.6*$D15</f>
        <v>57495168519.8556</v>
      </c>
      <c r="Q15" s="171">
        <f aca="true" t="shared" si="18" ref="Q15:Q23">+K15*$C15*3.6*$D15</f>
        <v>57495168519.8556</v>
      </c>
      <c r="U15">
        <v>1</v>
      </c>
      <c r="V15">
        <f aca="true" t="shared" si="19" ref="V15:V23">+IF($V$11=$U15,X$11,0)+IF($V$10=$U15,X$10,0)+IF($V$9=$U15,X$9,0)+IF($V$8=$U15,X$8,0)+IF($V$7=$U15,X$7,0)+IF($V$6=$U15,X$6,0)+IF($V$5=$U15,X$5,0)+IF($V$4=$U15,X$4,0)+IF($V$3=$U15,X$3,0)+IF($V$2=$U15,X$2,0)</f>
        <v>0</v>
      </c>
      <c r="W15">
        <f aca="true" t="shared" si="20" ref="W15:W23">+IF($V$11=$U15,Y$11,0)+IF($V$10=$U15,Y$10,0)+IF($V$9=$U15,Y$9,0)+IF($V$8=$U15,Y$8,0)+IF($V$7=$U15,Y$7,0)+IF($V$6=$U15,Y$6,0)+IF($V$5=$U15,Y$5,0)+IF($V$4=$U15,Y$4,0)+IF($V$3=$U15,Y$3,0)+IF($V$2=$U15,Y$2,0)</f>
        <v>0</v>
      </c>
      <c r="X15">
        <f aca="true" t="shared" si="21" ref="X15:X23">+IF($V$11=$U15,Z$11,0)+IF($V$10=$U15,Z$10,0)+IF($V$9=$U15,Z$9,0)+IF($V$8=$U15,Z$8,0)+IF($V$7=$U15,Z$7,0)+IF($V$6=$U15,Z$6,0)+IF($V$5=$U15,Z$5,0)+IF($V$4=$U15,Z$4,0)+IF($V$3=$U15,Z$3,0)+IF($V$2=$U15,Z$2,0)</f>
        <v>0</v>
      </c>
      <c r="Y15">
        <f aca="true" t="shared" si="22" ref="Y15:Y23">+IF($V$11=$U15,AA$11,0)+IF($V$10=$U15,AA$10,0)+IF($V$9=$U15,AA$9,0)+IF($V$8=$U15,AA$8,0)+IF($V$7=$U15,AA$7,0)+IF($V$6=$U15,AA$6,0)+IF($V$5=$U15,AA$5,0)+IF($V$4=$U15,AA$4,0)+IF($V$3=$U15,AA$3,0)+IF($V$2=$U15,AA$2,0)</f>
        <v>0</v>
      </c>
      <c r="Z15">
        <f aca="true" t="shared" si="23" ref="Z15:Z23">+IF($V$11=$U15,AB$11,0)+IF($V$10=$U15,AB$10,0)+IF($V$9=$U15,AB$9,0)+IF($V$8=$U15,AB$8,0)+IF($V$7=$U15,AB$7,0)+IF($V$6=$U15,AB$6,0)+IF($V$5=$U15,AB$5,0)+IF($V$4=$U15,AB$4,0)+IF($V$3=$U15,AB$3,0)+IF($V$2=$U15,AB$2,0)</f>
        <v>0</v>
      </c>
    </row>
    <row r="16" spans="1:26" ht="12.75">
      <c r="A16" s="104" t="s">
        <v>240</v>
      </c>
      <c r="B16" s="158">
        <f ca="1">+INDIRECT("'2 Appliances Market'!"&amp;ADDRESS(ROW('2 Appliances Market'!B28),COLUMN('2 Appliances Market'!B28)+'user2 calculation'!$B$2-1))</f>
        <v>1150</v>
      </c>
      <c r="C16" s="169">
        <v>20000</v>
      </c>
      <c r="D16">
        <f>+B82/E16</f>
        <v>56.85810810810811</v>
      </c>
      <c r="E16">
        <f>+'1 Data'!J81/100</f>
        <v>0.9866666666666666</v>
      </c>
      <c r="G16" s="172">
        <f t="shared" si="9"/>
        <v>1150</v>
      </c>
      <c r="H16">
        <f t="shared" si="10"/>
        <v>1150</v>
      </c>
      <c r="I16">
        <f t="shared" si="11"/>
        <v>1150</v>
      </c>
      <c r="J16">
        <f t="shared" si="12"/>
        <v>1150</v>
      </c>
      <c r="K16">
        <f t="shared" si="13"/>
        <v>1150</v>
      </c>
      <c r="M16" s="171">
        <f t="shared" si="14"/>
        <v>4707851351.351352</v>
      </c>
      <c r="N16" s="171">
        <f t="shared" si="15"/>
        <v>4707851351.351352</v>
      </c>
      <c r="O16" s="171">
        <f t="shared" si="16"/>
        <v>4707851351.351352</v>
      </c>
      <c r="P16" s="171">
        <f t="shared" si="17"/>
        <v>4707851351.351352</v>
      </c>
      <c r="Q16" s="171">
        <f t="shared" si="18"/>
        <v>4707851351.351352</v>
      </c>
      <c r="U16">
        <v>2</v>
      </c>
      <c r="V16">
        <f t="shared" si="19"/>
        <v>0</v>
      </c>
      <c r="W16">
        <f t="shared" si="20"/>
        <v>0</v>
      </c>
      <c r="X16">
        <f t="shared" si="21"/>
        <v>0</v>
      </c>
      <c r="Y16">
        <f t="shared" si="22"/>
        <v>0</v>
      </c>
      <c r="Z16">
        <f t="shared" si="23"/>
        <v>0</v>
      </c>
    </row>
    <row r="17" spans="1:26" ht="12.75">
      <c r="A17" s="104" t="s">
        <v>241</v>
      </c>
      <c r="B17" s="158">
        <f ca="1">+INDIRECT("'2 Appliances Market'!"&amp;ADDRESS(ROW('2 Appliances Market'!B29),COLUMN('2 Appliances Market'!B29)+'user2 calculation'!$B$2-1))</f>
        <v>5412</v>
      </c>
      <c r="C17" s="169">
        <v>20000</v>
      </c>
      <c r="D17">
        <f>+B82/E17</f>
        <v>60.758122743682314</v>
      </c>
      <c r="E17">
        <f>+'1 Data'!H81/100</f>
        <v>0.9233333333333333</v>
      </c>
      <c r="G17" s="172">
        <f t="shared" si="9"/>
        <v>5412</v>
      </c>
      <c r="H17">
        <f t="shared" si="10"/>
        <v>5412</v>
      </c>
      <c r="I17">
        <f t="shared" si="11"/>
        <v>5412</v>
      </c>
      <c r="J17">
        <f t="shared" si="12"/>
        <v>5412</v>
      </c>
      <c r="K17">
        <f t="shared" si="13"/>
        <v>5412</v>
      </c>
      <c r="M17" s="171">
        <f t="shared" si="14"/>
        <v>23675253140.794224</v>
      </c>
      <c r="N17" s="171">
        <f t="shared" si="15"/>
        <v>23675253140.794224</v>
      </c>
      <c r="O17" s="171">
        <f t="shared" si="16"/>
        <v>23675253140.794224</v>
      </c>
      <c r="P17" s="171">
        <f t="shared" si="17"/>
        <v>23675253140.794224</v>
      </c>
      <c r="Q17" s="171">
        <f t="shared" si="18"/>
        <v>23675253140.794224</v>
      </c>
      <c r="U17">
        <v>3</v>
      </c>
      <c r="V17">
        <f t="shared" si="19"/>
        <v>0</v>
      </c>
      <c r="W17">
        <f t="shared" si="20"/>
        <v>0</v>
      </c>
      <c r="X17">
        <f t="shared" si="21"/>
        <v>0</v>
      </c>
      <c r="Y17">
        <f t="shared" si="22"/>
        <v>0</v>
      </c>
      <c r="Z17">
        <f t="shared" si="23"/>
        <v>0</v>
      </c>
    </row>
    <row r="18" spans="1:26" ht="12.75">
      <c r="A18" s="104" t="s">
        <v>242</v>
      </c>
      <c r="B18" s="158">
        <f ca="1">+INDIRECT("'2 Appliances Market'!"&amp;ADDRESS(ROW('2 Appliances Market'!B30),COLUMN('2 Appliances Market'!B30)+'user2 calculation'!$B$2-1))</f>
        <v>0</v>
      </c>
      <c r="C18" s="169">
        <v>20000</v>
      </c>
      <c r="D18">
        <f>+B82/E18</f>
        <v>56.85810810810811</v>
      </c>
      <c r="E18">
        <f>+'1 Data'!J81/100</f>
        <v>0.9866666666666666</v>
      </c>
      <c r="G18" s="172">
        <f t="shared" si="9"/>
        <v>0</v>
      </c>
      <c r="H18">
        <f t="shared" si="10"/>
        <v>0</v>
      </c>
      <c r="I18">
        <f t="shared" si="11"/>
        <v>0</v>
      </c>
      <c r="J18">
        <f t="shared" si="12"/>
        <v>0</v>
      </c>
      <c r="K18">
        <f t="shared" si="13"/>
        <v>0</v>
      </c>
      <c r="M18" s="171">
        <f t="shared" si="14"/>
        <v>0</v>
      </c>
      <c r="N18" s="171">
        <f t="shared" si="15"/>
        <v>0</v>
      </c>
      <c r="O18" s="171">
        <f t="shared" si="16"/>
        <v>0</v>
      </c>
      <c r="P18" s="171">
        <f t="shared" si="17"/>
        <v>0</v>
      </c>
      <c r="Q18" s="171">
        <f t="shared" si="18"/>
        <v>0</v>
      </c>
      <c r="U18">
        <v>4</v>
      </c>
      <c r="V18">
        <f t="shared" si="19"/>
        <v>0</v>
      </c>
      <c r="W18">
        <f t="shared" si="20"/>
        <v>0</v>
      </c>
      <c r="X18">
        <f t="shared" si="21"/>
        <v>0</v>
      </c>
      <c r="Y18">
        <f t="shared" si="22"/>
        <v>0</v>
      </c>
      <c r="Z18">
        <f t="shared" si="23"/>
        <v>0</v>
      </c>
    </row>
    <row r="19" spans="1:26" ht="12.75">
      <c r="A19" s="104" t="s">
        <v>243</v>
      </c>
      <c r="B19" s="158">
        <f ca="1">+INDIRECT("'2 Appliances Market'!"&amp;ADDRESS(ROW('2 Appliances Market'!B31),COLUMN('2 Appliances Market'!B31)+'user2 calculation'!$B$2-1))</f>
        <v>1100</v>
      </c>
      <c r="C19" s="169">
        <v>20000</v>
      </c>
      <c r="D19">
        <f>+B83/E19</f>
        <v>80.14440433212997</v>
      </c>
      <c r="E19">
        <f>+'1 Data'!R81/100</f>
        <v>0.9233333333333333</v>
      </c>
      <c r="G19" s="172">
        <f t="shared" si="9"/>
        <v>1100</v>
      </c>
      <c r="H19">
        <f t="shared" si="10"/>
        <v>440</v>
      </c>
      <c r="I19">
        <f t="shared" si="11"/>
        <v>176</v>
      </c>
      <c r="J19">
        <f t="shared" si="12"/>
        <v>70</v>
      </c>
      <c r="K19">
        <f t="shared" si="13"/>
        <v>28</v>
      </c>
      <c r="M19" s="171">
        <f t="shared" si="14"/>
        <v>6347436823.104693</v>
      </c>
      <c r="N19" s="171">
        <f t="shared" si="15"/>
        <v>2538974729.2418776</v>
      </c>
      <c r="O19" s="171">
        <f t="shared" si="16"/>
        <v>1015589891.6967509</v>
      </c>
      <c r="P19" s="171">
        <f t="shared" si="17"/>
        <v>403927797.833935</v>
      </c>
      <c r="Q19" s="171">
        <f t="shared" si="18"/>
        <v>161571119.133574</v>
      </c>
      <c r="U19">
        <v>5</v>
      </c>
      <c r="V19">
        <f t="shared" si="19"/>
        <v>660</v>
      </c>
      <c r="W19">
        <f t="shared" si="20"/>
        <v>264</v>
      </c>
      <c r="X19">
        <f t="shared" si="21"/>
        <v>106</v>
      </c>
      <c r="Y19">
        <f t="shared" si="22"/>
        <v>42</v>
      </c>
      <c r="Z19">
        <f t="shared" si="23"/>
        <v>17</v>
      </c>
    </row>
    <row r="20" spans="1:26" ht="12.75">
      <c r="A20" s="104" t="s">
        <v>244</v>
      </c>
      <c r="B20" s="158">
        <f ca="1">+INDIRECT("'2 Appliances Market'!"&amp;ADDRESS(ROW('2 Appliances Market'!B32),COLUMN('2 Appliances Market'!B32)+'user2 calculation'!$B$2-1))</f>
        <v>0</v>
      </c>
      <c r="C20" s="169">
        <v>20000</v>
      </c>
      <c r="D20">
        <f>+B82/E20</f>
        <v>63.27067669172932</v>
      </c>
      <c r="E20">
        <f>+'1 Data'!G81/100</f>
        <v>0.8866666666666667</v>
      </c>
      <c r="G20" s="172">
        <f t="shared" si="9"/>
        <v>0</v>
      </c>
      <c r="H20">
        <f t="shared" si="10"/>
        <v>0</v>
      </c>
      <c r="I20">
        <f t="shared" si="11"/>
        <v>0</v>
      </c>
      <c r="J20">
        <f t="shared" si="12"/>
        <v>0</v>
      </c>
      <c r="K20">
        <f t="shared" si="13"/>
        <v>0</v>
      </c>
      <c r="M20" s="171">
        <f t="shared" si="14"/>
        <v>0</v>
      </c>
      <c r="N20" s="171">
        <f t="shared" si="15"/>
        <v>0</v>
      </c>
      <c r="O20" s="171">
        <f t="shared" si="16"/>
        <v>0</v>
      </c>
      <c r="P20" s="171">
        <f t="shared" si="17"/>
        <v>0</v>
      </c>
      <c r="Q20" s="171">
        <f t="shared" si="18"/>
        <v>0</v>
      </c>
      <c r="U20">
        <v>6</v>
      </c>
      <c r="V20">
        <f t="shared" si="19"/>
        <v>0</v>
      </c>
      <c r="W20">
        <f t="shared" si="20"/>
        <v>0</v>
      </c>
      <c r="X20">
        <f t="shared" si="21"/>
        <v>0</v>
      </c>
      <c r="Y20">
        <f t="shared" si="22"/>
        <v>0</v>
      </c>
      <c r="Z20">
        <f t="shared" si="23"/>
        <v>0</v>
      </c>
    </row>
    <row r="21" spans="1:26" ht="12.75">
      <c r="A21" s="104" t="s">
        <v>245</v>
      </c>
      <c r="B21" s="158">
        <f ca="1">+INDIRECT("'2 Appliances Market'!"&amp;ADDRESS(ROW('2 Appliances Market'!B33),COLUMN('2 Appliances Market'!B33)+'user2 calculation'!$B$2-1))</f>
        <v>385</v>
      </c>
      <c r="C21" s="169">
        <v>20000</v>
      </c>
      <c r="D21">
        <v>0</v>
      </c>
      <c r="G21" s="172">
        <f t="shared" si="9"/>
        <v>385</v>
      </c>
      <c r="H21">
        <f t="shared" si="10"/>
        <v>385</v>
      </c>
      <c r="I21">
        <f t="shared" si="11"/>
        <v>385</v>
      </c>
      <c r="J21">
        <f t="shared" si="12"/>
        <v>385</v>
      </c>
      <c r="K21">
        <f t="shared" si="13"/>
        <v>385</v>
      </c>
      <c r="M21" s="171">
        <f t="shared" si="14"/>
        <v>0</v>
      </c>
      <c r="N21" s="171">
        <f t="shared" si="15"/>
        <v>0</v>
      </c>
      <c r="O21" s="171">
        <f t="shared" si="16"/>
        <v>0</v>
      </c>
      <c r="P21" s="171">
        <f t="shared" si="17"/>
        <v>0</v>
      </c>
      <c r="Q21" s="171">
        <f t="shared" si="18"/>
        <v>0</v>
      </c>
      <c r="U21">
        <v>7</v>
      </c>
      <c r="V21">
        <f t="shared" si="19"/>
        <v>0</v>
      </c>
      <c r="W21">
        <f t="shared" si="20"/>
        <v>0</v>
      </c>
      <c r="X21">
        <f t="shared" si="21"/>
        <v>0</v>
      </c>
      <c r="Y21">
        <f t="shared" si="22"/>
        <v>0</v>
      </c>
      <c r="Z21">
        <f t="shared" si="23"/>
        <v>0</v>
      </c>
    </row>
    <row r="22" spans="1:26" ht="12.75">
      <c r="A22" s="104" t="s">
        <v>246</v>
      </c>
      <c r="B22" s="158">
        <f ca="1">+INDIRECT("'2 Appliances Market'!"&amp;ADDRESS(ROW('2 Appliances Market'!B34),COLUMN('2 Appliances Market'!B34)+'user2 calculation'!$B$2-1))</f>
        <v>0</v>
      </c>
      <c r="C22" s="169">
        <v>20000</v>
      </c>
      <c r="D22">
        <f>+C66/E22</f>
        <v>66.080369283117</v>
      </c>
      <c r="E22" s="168">
        <v>2</v>
      </c>
      <c r="G22" s="172">
        <f t="shared" si="9"/>
        <v>0</v>
      </c>
      <c r="H22">
        <f t="shared" si="10"/>
        <v>0</v>
      </c>
      <c r="I22">
        <f t="shared" si="11"/>
        <v>0</v>
      </c>
      <c r="J22">
        <f t="shared" si="12"/>
        <v>0</v>
      </c>
      <c r="K22">
        <f t="shared" si="13"/>
        <v>0</v>
      </c>
      <c r="M22" s="171">
        <f t="shared" si="14"/>
        <v>0</v>
      </c>
      <c r="N22" s="171">
        <f t="shared" si="15"/>
        <v>0</v>
      </c>
      <c r="O22" s="171">
        <f t="shared" si="16"/>
        <v>0</v>
      </c>
      <c r="P22" s="171">
        <f t="shared" si="17"/>
        <v>0</v>
      </c>
      <c r="Q22" s="171">
        <f t="shared" si="18"/>
        <v>0</v>
      </c>
      <c r="U22">
        <v>8</v>
      </c>
      <c r="V22">
        <f t="shared" si="19"/>
        <v>0</v>
      </c>
      <c r="W22">
        <f t="shared" si="20"/>
        <v>0</v>
      </c>
      <c r="X22">
        <f t="shared" si="21"/>
        <v>0</v>
      </c>
      <c r="Y22">
        <f t="shared" si="22"/>
        <v>0</v>
      </c>
      <c r="Z22">
        <f t="shared" si="23"/>
        <v>0</v>
      </c>
    </row>
    <row r="23" spans="1:26" ht="12.75">
      <c r="A23" s="104" t="s">
        <v>247</v>
      </c>
      <c r="B23" s="158">
        <f ca="1">+INDIRECT("'2 Appliances Market'!"&amp;ADDRESS(ROW('2 Appliances Market'!B35),COLUMN('2 Appliances Market'!B35)+'user2 calculation'!$B$2-1))</f>
        <v>587</v>
      </c>
      <c r="C23" s="169">
        <v>20000</v>
      </c>
      <c r="D23">
        <f>+C66/E23</f>
        <v>137.66743600649374</v>
      </c>
      <c r="E23">
        <f>+'1 Data'!U81/100</f>
        <v>0.96</v>
      </c>
      <c r="G23" s="172">
        <f t="shared" si="9"/>
        <v>587</v>
      </c>
      <c r="H23">
        <f t="shared" si="10"/>
        <v>587</v>
      </c>
      <c r="I23">
        <f t="shared" si="11"/>
        <v>587</v>
      </c>
      <c r="J23">
        <f t="shared" si="12"/>
        <v>587</v>
      </c>
      <c r="K23">
        <f t="shared" si="13"/>
        <v>587</v>
      </c>
      <c r="M23" s="171">
        <f t="shared" si="14"/>
        <v>5818376515.378451</v>
      </c>
      <c r="N23" s="171">
        <f t="shared" si="15"/>
        <v>5818376515.378451</v>
      </c>
      <c r="O23" s="171">
        <f t="shared" si="16"/>
        <v>5818376515.378451</v>
      </c>
      <c r="P23" s="171">
        <f t="shared" si="17"/>
        <v>5818376515.378451</v>
      </c>
      <c r="Q23" s="171">
        <f t="shared" si="18"/>
        <v>5818376515.378451</v>
      </c>
      <c r="U23">
        <v>9</v>
      </c>
      <c r="V23">
        <f t="shared" si="19"/>
        <v>0</v>
      </c>
      <c r="W23">
        <f t="shared" si="20"/>
        <v>0</v>
      </c>
      <c r="X23">
        <f t="shared" si="21"/>
        <v>0</v>
      </c>
      <c r="Y23">
        <f t="shared" si="22"/>
        <v>0</v>
      </c>
      <c r="Z23">
        <f t="shared" si="23"/>
        <v>0</v>
      </c>
    </row>
    <row r="24" spans="1:2" ht="12.75">
      <c r="A24" s="111" t="s">
        <v>237</v>
      </c>
      <c r="B24" s="158">
        <f ca="1">+INDIRECT("'2 Appliances Market'!"&amp;ADDRESS(ROW('2 Appliances Market'!B36),COLUMN('2 Appliances Market'!B36)+'user2 calculation'!$B$2-1))</f>
        <v>21190</v>
      </c>
    </row>
    <row r="26" spans="1:28" ht="12.75">
      <c r="A26" t="s">
        <v>321</v>
      </c>
      <c r="C26" s="158">
        <f aca="true" t="shared" si="24" ref="C26:C45">+AB26</f>
        <v>0</v>
      </c>
      <c r="D26">
        <f>+B$82</f>
        <v>56.1</v>
      </c>
      <c r="E26">
        <f>+'1 Data'!F81/100</f>
        <v>0.8666666666666666</v>
      </c>
      <c r="F26">
        <f>+IF(E26=0,1,E26)</f>
        <v>0.8666666666666666</v>
      </c>
      <c r="G26">
        <v>0</v>
      </c>
      <c r="H26">
        <f>+G26+V26</f>
        <v>0</v>
      </c>
      <c r="I26">
        <f aca="true" t="shared" si="25" ref="I26:I45">+H26+W26</f>
        <v>0</v>
      </c>
      <c r="J26">
        <f aca="true" t="shared" si="26" ref="J26:J45">+I26+X26</f>
        <v>0</v>
      </c>
      <c r="K26">
        <f aca="true" t="shared" si="27" ref="K26:K45">+J26+Y26</f>
        <v>0</v>
      </c>
      <c r="M26" s="171">
        <f aca="true" t="shared" si="28" ref="M26:M45">+G26*$C26*3.6*$D26</f>
        <v>0</v>
      </c>
      <c r="N26" s="171">
        <f aca="true" t="shared" si="29" ref="N26:N45">+H26*$C26*3.6*$D26</f>
        <v>0</v>
      </c>
      <c r="O26" s="171">
        <f aca="true" t="shared" si="30" ref="O26:O45">+I26*$C26*3.6*$D26</f>
        <v>0</v>
      </c>
      <c r="P26" s="171">
        <f aca="true" t="shared" si="31" ref="P26:P45">+J26*$C26*3.6*$D26</f>
        <v>0</v>
      </c>
      <c r="Q26" s="171">
        <f aca="true" t="shared" si="32" ref="Q26:Q45">+K26*$C26*3.6*$D26</f>
        <v>0</v>
      </c>
      <c r="U26">
        <v>1</v>
      </c>
      <c r="V26">
        <f>+IF($AC$11=$U26,X$11,0)+IF($AC$10=$U26,X$10,0)+IF($AC$9=$U26,X$9,0)+IF($AC$8=$U26,X$8,0)+IF($AC$7=$U26,X$7,0)+IF($AC$6=$U26,X$6,0)+IF($AC$5=$U26,X$5,0)+IF($AC$4=$U26,X$4,0)+IF($AC$3=$U26,X$3,0)+IF($AC$2=$U26,X$2,0)</f>
        <v>0</v>
      </c>
      <c r="W26">
        <f aca="true" t="shared" si="33" ref="W26:W45">+IF($AC$11=$U26,Y$11,0)+IF($AC$10=$U26,Y$10,0)+IF($AC$9=$U26,Y$9,0)+IF($AC$8=$U26,Y$8,0)+IF($AC$7=$U26,Y$7,0)+IF($AC$6=$U26,Y$6,0)+IF($AC$5=$U26,Y$5,0)+IF($AC$4=$U26,Y$4,0)+IF($AC$3=$U26,Y$3,0)+IF($AC$2=$U26,Y$2,0)</f>
        <v>0</v>
      </c>
      <c r="X26">
        <f aca="true" t="shared" si="34" ref="X26:X45">+IF($AC$11=$U26,Z$11,0)+IF($AC$10=$U26,Z$10,0)+IF($AC$9=$U26,Z$9,0)+IF($AC$8=$U26,Z$8,0)+IF($AC$7=$U26,Z$7,0)+IF($AC$6=$U26,Z$6,0)+IF($AC$5=$U26,Z$5,0)+IF($AC$4=$U26,Z$4,0)+IF($AC$3=$U26,Z$3,0)+IF($AC$2=$U26,Z$2,0)</f>
        <v>0</v>
      </c>
      <c r="Y26">
        <f aca="true" t="shared" si="35" ref="Y26:Y45">+IF($AC$11=$U26,AA$11,0)+IF($AC$10=$U26,AA$10,0)+IF($AC$9=$U26,AA$9,0)+IF($AC$8=$U26,AA$8,0)+IF($AC$7=$U26,AA$7,0)+IF($AC$6=$U26,AA$6,0)+IF($AC$5=$U26,AA$5,0)+IF($AC$4=$U26,AA$4,0)+IF($AC$3=$U26,AA$3,0)+IF($AC$2=$U26,AA$2,0)</f>
        <v>0</v>
      </c>
      <c r="Z26">
        <f aca="true" t="shared" si="36" ref="Z26:Z45">+IF($AC$11=$U26,AB$11,0)+IF($AC$10=$U26,AB$10,0)+IF($AC$9=$U26,AB$9,0)+IF($AC$8=$U26,AB$8,0)+IF($AC$7=$U26,AB$7,0)+IF($AC$6=$U26,AB$6,0)+IF($AC$5=$U26,AB$5,0)+IF($AC$4=$U26,AB$4,0)+IF($AC$3=$U26,AB$3,0)+IF($AC$2=$U26,AB$2,0)</f>
        <v>0</v>
      </c>
      <c r="AA26">
        <f aca="true" t="shared" si="37" ref="AA26:AA45">+IF(AC$11=U26,AD$11,0)+IF(AC$10=U26,AD$10,0)+IF(AC$9=U26,AD$9,0)+IF(AC$8=U26,AD$8,0)+IF(AC$7=U26,AD$7,0)+IF(AC$6=U26,AD$6,0)+IF(AC$5=U26,AD$5,0)+IF(AC$4=U26,AD$4,0)+IF(AC$3=U26,AD$3,0)+IF(AC$2=U26,AD$2,0)</f>
        <v>0</v>
      </c>
      <c r="AB26">
        <f aca="true" t="shared" si="38" ref="AB26:AB45">+IF(AA26=0,0,(IF(AC$11=U26,AD$11*AE$11,0)+IF(AC$10=U26,AD$10*AE$10,0)+IF(AC$9=U26,AD$9*AE$9,0)+IF(AC$8=U26,AD$8*AE$8,0)+IF(AC$7=U26,AD$7*AE$7,0)+IF(AC$6=U26,AD$6*AE$6,0)+IF(AC$5=U26,AD$5*AE$5,0)+IF(AC$4=U26,AD$4*AE$4,0)+IF(AC$3=U26,AD$3*AE$3,0)+IF(AC$2=U26,AD$2*AE$2,0))/AA26/F26)</f>
        <v>0</v>
      </c>
    </row>
    <row r="27" spans="1:28" ht="12.75">
      <c r="A27" t="s">
        <v>322</v>
      </c>
      <c r="C27" s="158">
        <f t="shared" si="24"/>
        <v>0</v>
      </c>
      <c r="D27">
        <f aca="true" t="shared" si="39" ref="D27:D36">+B$82</f>
        <v>56.1</v>
      </c>
      <c r="E27">
        <f>+'1 Data'!G81/100</f>
        <v>0.8866666666666667</v>
      </c>
      <c r="F27">
        <f aca="true" t="shared" si="40" ref="F27:F45">+IF(E27=0,1,E27)</f>
        <v>0.8866666666666667</v>
      </c>
      <c r="G27">
        <v>0</v>
      </c>
      <c r="H27">
        <f aca="true" t="shared" si="41" ref="H27:H45">+G27+V27</f>
        <v>0</v>
      </c>
      <c r="I27">
        <f t="shared" si="25"/>
        <v>0</v>
      </c>
      <c r="J27">
        <f t="shared" si="26"/>
        <v>0</v>
      </c>
      <c r="K27">
        <f t="shared" si="27"/>
        <v>0</v>
      </c>
      <c r="M27" s="171">
        <f t="shared" si="28"/>
        <v>0</v>
      </c>
      <c r="N27" s="171">
        <f t="shared" si="29"/>
        <v>0</v>
      </c>
      <c r="O27" s="171">
        <f t="shared" si="30"/>
        <v>0</v>
      </c>
      <c r="P27" s="171">
        <f t="shared" si="31"/>
        <v>0</v>
      </c>
      <c r="Q27" s="171">
        <f t="shared" si="32"/>
        <v>0</v>
      </c>
      <c r="U27">
        <f>+U26+1</f>
        <v>2</v>
      </c>
      <c r="V27">
        <f aca="true" t="shared" si="42" ref="V27:V45">+IF($AC$11=$U27,X$11,0)+IF($AC$10=$U27,X$10,0)+IF($AC$9=$U27,X$9,0)+IF($AC$8=$U27,X$8,0)+IF($AC$7=$U27,X$7,0)+IF($AC$6=$U27,X$6,0)+IF($AC$5=$U27,X$5,0)+IF($AC$4=$U27,X$4,0)+IF($AC$3=$U27,X$3,0)+IF($AC$2=$U27,X$2,0)</f>
        <v>0</v>
      </c>
      <c r="W27">
        <f t="shared" si="33"/>
        <v>0</v>
      </c>
      <c r="X27">
        <f t="shared" si="34"/>
        <v>0</v>
      </c>
      <c r="Y27">
        <f t="shared" si="35"/>
        <v>0</v>
      </c>
      <c r="Z27">
        <f t="shared" si="36"/>
        <v>0</v>
      </c>
      <c r="AA27">
        <f t="shared" si="37"/>
        <v>0</v>
      </c>
      <c r="AB27">
        <f t="shared" si="38"/>
        <v>0</v>
      </c>
    </row>
    <row r="28" spans="1:28" ht="12.75">
      <c r="A28" t="s">
        <v>323</v>
      </c>
      <c r="C28" s="158">
        <f t="shared" si="24"/>
        <v>0</v>
      </c>
      <c r="D28">
        <f t="shared" si="39"/>
        <v>56.1</v>
      </c>
      <c r="E28">
        <f>+'1 Data'!H81/100</f>
        <v>0.9233333333333333</v>
      </c>
      <c r="F28">
        <f t="shared" si="40"/>
        <v>0.9233333333333333</v>
      </c>
      <c r="G28">
        <v>0</v>
      </c>
      <c r="H28">
        <f t="shared" si="41"/>
        <v>0</v>
      </c>
      <c r="I28">
        <f t="shared" si="25"/>
        <v>0</v>
      </c>
      <c r="J28">
        <f t="shared" si="26"/>
        <v>0</v>
      </c>
      <c r="K28">
        <f t="shared" si="27"/>
        <v>0</v>
      </c>
      <c r="M28" s="171">
        <f t="shared" si="28"/>
        <v>0</v>
      </c>
      <c r="N28" s="171">
        <f t="shared" si="29"/>
        <v>0</v>
      </c>
      <c r="O28" s="171">
        <f t="shared" si="30"/>
        <v>0</v>
      </c>
      <c r="P28" s="171">
        <f t="shared" si="31"/>
        <v>0</v>
      </c>
      <c r="Q28" s="171">
        <f t="shared" si="32"/>
        <v>0</v>
      </c>
      <c r="U28">
        <f aca="true" t="shared" si="43" ref="U28:U45">+U27+1</f>
        <v>3</v>
      </c>
      <c r="V28">
        <f t="shared" si="42"/>
        <v>0</v>
      </c>
      <c r="W28">
        <f t="shared" si="33"/>
        <v>0</v>
      </c>
      <c r="X28">
        <f t="shared" si="34"/>
        <v>0</v>
      </c>
      <c r="Y28">
        <f t="shared" si="35"/>
        <v>0</v>
      </c>
      <c r="Z28">
        <f t="shared" si="36"/>
        <v>0</v>
      </c>
      <c r="AA28">
        <f t="shared" si="37"/>
        <v>0</v>
      </c>
      <c r="AB28">
        <f t="shared" si="38"/>
        <v>0</v>
      </c>
    </row>
    <row r="29" spans="1:28" ht="12.75">
      <c r="A29" t="s">
        <v>324</v>
      </c>
      <c r="C29" s="158">
        <f t="shared" si="24"/>
        <v>0</v>
      </c>
      <c r="D29">
        <f t="shared" si="39"/>
        <v>56.1</v>
      </c>
      <c r="E29">
        <f>+'1 Data'!I81/100</f>
        <v>0.945</v>
      </c>
      <c r="F29">
        <f t="shared" si="40"/>
        <v>0.945</v>
      </c>
      <c r="G29">
        <v>0</v>
      </c>
      <c r="H29">
        <f t="shared" si="41"/>
        <v>0</v>
      </c>
      <c r="I29">
        <f t="shared" si="25"/>
        <v>0</v>
      </c>
      <c r="J29">
        <f t="shared" si="26"/>
        <v>0</v>
      </c>
      <c r="K29">
        <f t="shared" si="27"/>
        <v>0</v>
      </c>
      <c r="M29" s="171">
        <f t="shared" si="28"/>
        <v>0</v>
      </c>
      <c r="N29" s="171">
        <f t="shared" si="29"/>
        <v>0</v>
      </c>
      <c r="O29" s="171">
        <f t="shared" si="30"/>
        <v>0</v>
      </c>
      <c r="P29" s="171">
        <f t="shared" si="31"/>
        <v>0</v>
      </c>
      <c r="Q29" s="171">
        <f t="shared" si="32"/>
        <v>0</v>
      </c>
      <c r="U29">
        <f t="shared" si="43"/>
        <v>4</v>
      </c>
      <c r="V29">
        <f t="shared" si="42"/>
        <v>0</v>
      </c>
      <c r="W29">
        <f t="shared" si="33"/>
        <v>0</v>
      </c>
      <c r="X29">
        <f t="shared" si="34"/>
        <v>0</v>
      </c>
      <c r="Y29">
        <f t="shared" si="35"/>
        <v>0</v>
      </c>
      <c r="Z29">
        <f t="shared" si="36"/>
        <v>0</v>
      </c>
      <c r="AA29">
        <f t="shared" si="37"/>
        <v>0</v>
      </c>
      <c r="AB29">
        <f t="shared" si="38"/>
        <v>0</v>
      </c>
    </row>
    <row r="30" spans="1:28" ht="12.75">
      <c r="A30" t="s">
        <v>325</v>
      </c>
      <c r="C30" s="158">
        <f t="shared" si="24"/>
        <v>18716.21621621622</v>
      </c>
      <c r="D30">
        <f t="shared" si="39"/>
        <v>56.1</v>
      </c>
      <c r="E30">
        <f>+'1 Data'!J81/100</f>
        <v>0.9866666666666666</v>
      </c>
      <c r="F30">
        <f t="shared" si="40"/>
        <v>0.9866666666666666</v>
      </c>
      <c r="G30">
        <v>0</v>
      </c>
      <c r="H30">
        <f t="shared" si="41"/>
        <v>550</v>
      </c>
      <c r="I30">
        <f t="shared" si="25"/>
        <v>770</v>
      </c>
      <c r="J30">
        <f t="shared" si="26"/>
        <v>858</v>
      </c>
      <c r="K30">
        <f t="shared" si="27"/>
        <v>893</v>
      </c>
      <c r="M30" s="171">
        <f t="shared" si="28"/>
        <v>0</v>
      </c>
      <c r="N30" s="171">
        <f t="shared" si="29"/>
        <v>2078959864.8648655</v>
      </c>
      <c r="O30" s="171">
        <f t="shared" si="30"/>
        <v>2910543810.810811</v>
      </c>
      <c r="P30" s="171">
        <f t="shared" si="31"/>
        <v>3243177389.1891904</v>
      </c>
      <c r="Q30" s="171">
        <f t="shared" si="32"/>
        <v>3375474835.135136</v>
      </c>
      <c r="U30">
        <f t="shared" si="43"/>
        <v>5</v>
      </c>
      <c r="V30">
        <f t="shared" si="42"/>
        <v>550</v>
      </c>
      <c r="W30">
        <f t="shared" si="33"/>
        <v>220</v>
      </c>
      <c r="X30">
        <f t="shared" si="34"/>
        <v>88</v>
      </c>
      <c r="Y30">
        <f t="shared" si="35"/>
        <v>35</v>
      </c>
      <c r="Z30">
        <f t="shared" si="36"/>
        <v>14</v>
      </c>
      <c r="AA30">
        <f t="shared" si="37"/>
        <v>1100</v>
      </c>
      <c r="AB30">
        <f t="shared" si="38"/>
        <v>18716.21621621622</v>
      </c>
    </row>
    <row r="31" spans="1:28" ht="12.75">
      <c r="A31" t="s">
        <v>326</v>
      </c>
      <c r="C31" s="158">
        <f t="shared" si="24"/>
        <v>18621.8487394958</v>
      </c>
      <c r="D31">
        <f t="shared" si="39"/>
        <v>56.1</v>
      </c>
      <c r="E31">
        <f>+'1 Data'!K81/100</f>
        <v>0.9916666666666667</v>
      </c>
      <c r="F31">
        <f t="shared" si="40"/>
        <v>0.9916666666666667</v>
      </c>
      <c r="G31">
        <v>0</v>
      </c>
      <c r="H31">
        <f t="shared" si="41"/>
        <v>110</v>
      </c>
      <c r="I31">
        <f t="shared" si="25"/>
        <v>154</v>
      </c>
      <c r="J31">
        <f t="shared" si="26"/>
        <v>172</v>
      </c>
      <c r="K31">
        <f t="shared" si="27"/>
        <v>179</v>
      </c>
      <c r="M31" s="171">
        <f t="shared" si="28"/>
        <v>0</v>
      </c>
      <c r="N31" s="171">
        <f t="shared" si="29"/>
        <v>413695542.8571429</v>
      </c>
      <c r="O31" s="171">
        <f t="shared" si="30"/>
        <v>579173760.0000001</v>
      </c>
      <c r="P31" s="171">
        <f t="shared" si="31"/>
        <v>646869394.2857144</v>
      </c>
      <c r="Q31" s="171">
        <f t="shared" si="32"/>
        <v>673195474.2857144</v>
      </c>
      <c r="U31">
        <f t="shared" si="43"/>
        <v>6</v>
      </c>
      <c r="V31">
        <f t="shared" si="42"/>
        <v>110</v>
      </c>
      <c r="W31">
        <f t="shared" si="33"/>
        <v>44</v>
      </c>
      <c r="X31">
        <f t="shared" si="34"/>
        <v>18</v>
      </c>
      <c r="Y31">
        <f t="shared" si="35"/>
        <v>7</v>
      </c>
      <c r="Z31">
        <f t="shared" si="36"/>
        <v>3</v>
      </c>
      <c r="AA31">
        <f t="shared" si="37"/>
        <v>1100</v>
      </c>
      <c r="AB31">
        <f t="shared" si="38"/>
        <v>18621.8487394958</v>
      </c>
    </row>
    <row r="32" spans="1:28" ht="12.75">
      <c r="A32" t="s">
        <v>327</v>
      </c>
      <c r="C32" s="158">
        <f t="shared" si="24"/>
        <v>0</v>
      </c>
      <c r="D32">
        <f t="shared" si="39"/>
        <v>56.1</v>
      </c>
      <c r="E32">
        <f>+'1 Data'!M81/100</f>
        <v>0.95</v>
      </c>
      <c r="F32">
        <f t="shared" si="40"/>
        <v>0.95</v>
      </c>
      <c r="G32">
        <v>0</v>
      </c>
      <c r="H32">
        <f t="shared" si="41"/>
        <v>0</v>
      </c>
      <c r="I32">
        <f t="shared" si="25"/>
        <v>0</v>
      </c>
      <c r="J32">
        <f t="shared" si="26"/>
        <v>0</v>
      </c>
      <c r="K32">
        <f t="shared" si="27"/>
        <v>0</v>
      </c>
      <c r="M32" s="171">
        <f t="shared" si="28"/>
        <v>0</v>
      </c>
      <c r="N32" s="171">
        <f t="shared" si="29"/>
        <v>0</v>
      </c>
      <c r="O32" s="171">
        <f t="shared" si="30"/>
        <v>0</v>
      </c>
      <c r="P32" s="171">
        <f t="shared" si="31"/>
        <v>0</v>
      </c>
      <c r="Q32" s="171">
        <f t="shared" si="32"/>
        <v>0</v>
      </c>
      <c r="U32">
        <f t="shared" si="43"/>
        <v>7</v>
      </c>
      <c r="V32">
        <f t="shared" si="42"/>
        <v>0</v>
      </c>
      <c r="W32">
        <f t="shared" si="33"/>
        <v>0</v>
      </c>
      <c r="X32">
        <f t="shared" si="34"/>
        <v>0</v>
      </c>
      <c r="Y32">
        <f t="shared" si="35"/>
        <v>0</v>
      </c>
      <c r="Z32">
        <f t="shared" si="36"/>
        <v>0</v>
      </c>
      <c r="AA32">
        <f t="shared" si="37"/>
        <v>0</v>
      </c>
      <c r="AB32">
        <f t="shared" si="38"/>
        <v>0</v>
      </c>
    </row>
    <row r="33" spans="1:28" ht="12.75">
      <c r="A33" t="s">
        <v>328</v>
      </c>
      <c r="C33" s="158">
        <f t="shared" si="24"/>
        <v>0</v>
      </c>
      <c r="D33">
        <f t="shared" si="39"/>
        <v>56.1</v>
      </c>
      <c r="E33">
        <f>+'1 Data'!N81/100</f>
        <v>0.9</v>
      </c>
      <c r="F33">
        <f t="shared" si="40"/>
        <v>0.9</v>
      </c>
      <c r="G33">
        <v>0</v>
      </c>
      <c r="H33">
        <f t="shared" si="41"/>
        <v>0</v>
      </c>
      <c r="I33">
        <f t="shared" si="25"/>
        <v>0</v>
      </c>
      <c r="J33">
        <f t="shared" si="26"/>
        <v>0</v>
      </c>
      <c r="K33">
        <f t="shared" si="27"/>
        <v>0</v>
      </c>
      <c r="M33" s="171">
        <f t="shared" si="28"/>
        <v>0</v>
      </c>
      <c r="N33" s="171">
        <f t="shared" si="29"/>
        <v>0</v>
      </c>
      <c r="O33" s="171">
        <f t="shared" si="30"/>
        <v>0</v>
      </c>
      <c r="P33" s="171">
        <f t="shared" si="31"/>
        <v>0</v>
      </c>
      <c r="Q33" s="171">
        <f t="shared" si="32"/>
        <v>0</v>
      </c>
      <c r="U33">
        <f t="shared" si="43"/>
        <v>8</v>
      </c>
      <c r="V33">
        <f t="shared" si="42"/>
        <v>0</v>
      </c>
      <c r="W33">
        <f t="shared" si="33"/>
        <v>0</v>
      </c>
      <c r="X33">
        <f t="shared" si="34"/>
        <v>0</v>
      </c>
      <c r="Y33">
        <f t="shared" si="35"/>
        <v>0</v>
      </c>
      <c r="Z33">
        <f t="shared" si="36"/>
        <v>0</v>
      </c>
      <c r="AA33">
        <f t="shared" si="37"/>
        <v>0</v>
      </c>
      <c r="AB33">
        <f t="shared" si="38"/>
        <v>0</v>
      </c>
    </row>
    <row r="34" spans="1:28" ht="12.75">
      <c r="A34" t="s">
        <v>329</v>
      </c>
      <c r="C34" s="158">
        <f t="shared" si="24"/>
        <v>0</v>
      </c>
      <c r="D34">
        <f t="shared" si="39"/>
        <v>56.1</v>
      </c>
      <c r="E34">
        <f>+'1 Data'!O81/100</f>
        <v>0</v>
      </c>
      <c r="F34">
        <f t="shared" si="40"/>
        <v>1</v>
      </c>
      <c r="G34">
        <v>0</v>
      </c>
      <c r="H34">
        <f t="shared" si="41"/>
        <v>0</v>
      </c>
      <c r="I34">
        <f t="shared" si="25"/>
        <v>0</v>
      </c>
      <c r="J34">
        <f t="shared" si="26"/>
        <v>0</v>
      </c>
      <c r="K34">
        <f t="shared" si="27"/>
        <v>0</v>
      </c>
      <c r="M34" s="171">
        <f t="shared" si="28"/>
        <v>0</v>
      </c>
      <c r="N34" s="171">
        <f t="shared" si="29"/>
        <v>0</v>
      </c>
      <c r="O34" s="171">
        <f t="shared" si="30"/>
        <v>0</v>
      </c>
      <c r="P34" s="171">
        <f t="shared" si="31"/>
        <v>0</v>
      </c>
      <c r="Q34" s="171">
        <f t="shared" si="32"/>
        <v>0</v>
      </c>
      <c r="U34">
        <f t="shared" si="43"/>
        <v>9</v>
      </c>
      <c r="V34">
        <f t="shared" si="42"/>
        <v>0</v>
      </c>
      <c r="W34">
        <f t="shared" si="33"/>
        <v>0</v>
      </c>
      <c r="X34">
        <f t="shared" si="34"/>
        <v>0</v>
      </c>
      <c r="Y34">
        <f t="shared" si="35"/>
        <v>0</v>
      </c>
      <c r="Z34">
        <f t="shared" si="36"/>
        <v>0</v>
      </c>
      <c r="AA34">
        <f t="shared" si="37"/>
        <v>0</v>
      </c>
      <c r="AB34">
        <f t="shared" si="38"/>
        <v>0</v>
      </c>
    </row>
    <row r="35" spans="1:28" ht="12.75">
      <c r="A35" t="s">
        <v>330</v>
      </c>
      <c r="C35" s="158">
        <f t="shared" si="24"/>
        <v>0</v>
      </c>
      <c r="D35">
        <f t="shared" si="39"/>
        <v>56.1</v>
      </c>
      <c r="E35">
        <f>+'1 Data'!P81/100</f>
        <v>0</v>
      </c>
      <c r="F35">
        <f t="shared" si="40"/>
        <v>1</v>
      </c>
      <c r="G35">
        <v>0</v>
      </c>
      <c r="H35">
        <f t="shared" si="41"/>
        <v>0</v>
      </c>
      <c r="I35">
        <f t="shared" si="25"/>
        <v>0</v>
      </c>
      <c r="J35">
        <f t="shared" si="26"/>
        <v>0</v>
      </c>
      <c r="K35">
        <f t="shared" si="27"/>
        <v>0</v>
      </c>
      <c r="M35" s="171">
        <f t="shared" si="28"/>
        <v>0</v>
      </c>
      <c r="N35" s="171">
        <f t="shared" si="29"/>
        <v>0</v>
      </c>
      <c r="O35" s="171">
        <f t="shared" si="30"/>
        <v>0</v>
      </c>
      <c r="P35" s="171">
        <f t="shared" si="31"/>
        <v>0</v>
      </c>
      <c r="Q35" s="171">
        <f t="shared" si="32"/>
        <v>0</v>
      </c>
      <c r="U35">
        <f t="shared" si="43"/>
        <v>10</v>
      </c>
      <c r="V35">
        <f t="shared" si="42"/>
        <v>0</v>
      </c>
      <c r="W35">
        <f t="shared" si="33"/>
        <v>0</v>
      </c>
      <c r="X35">
        <f t="shared" si="34"/>
        <v>0</v>
      </c>
      <c r="Y35">
        <f t="shared" si="35"/>
        <v>0</v>
      </c>
      <c r="Z35">
        <f t="shared" si="36"/>
        <v>0</v>
      </c>
      <c r="AA35">
        <f t="shared" si="37"/>
        <v>0</v>
      </c>
      <c r="AB35">
        <f t="shared" si="38"/>
        <v>0</v>
      </c>
    </row>
    <row r="36" spans="1:28" ht="12.75">
      <c r="A36" t="s">
        <v>331</v>
      </c>
      <c r="C36" s="158">
        <f t="shared" si="24"/>
        <v>0</v>
      </c>
      <c r="D36">
        <f t="shared" si="39"/>
        <v>56.1</v>
      </c>
      <c r="E36">
        <f>+'1 Data'!Q81/100</f>
        <v>0</v>
      </c>
      <c r="F36">
        <f t="shared" si="40"/>
        <v>1</v>
      </c>
      <c r="G36">
        <v>0</v>
      </c>
      <c r="H36">
        <f t="shared" si="41"/>
        <v>0</v>
      </c>
      <c r="I36">
        <f t="shared" si="25"/>
        <v>0</v>
      </c>
      <c r="J36">
        <f t="shared" si="26"/>
        <v>0</v>
      </c>
      <c r="K36">
        <f t="shared" si="27"/>
        <v>0</v>
      </c>
      <c r="M36" s="171">
        <f t="shared" si="28"/>
        <v>0</v>
      </c>
      <c r="N36" s="171">
        <f t="shared" si="29"/>
        <v>0</v>
      </c>
      <c r="O36" s="171">
        <f t="shared" si="30"/>
        <v>0</v>
      </c>
      <c r="P36" s="171">
        <f t="shared" si="31"/>
        <v>0</v>
      </c>
      <c r="Q36" s="171">
        <f t="shared" si="32"/>
        <v>0</v>
      </c>
      <c r="U36">
        <f t="shared" si="43"/>
        <v>11</v>
      </c>
      <c r="V36">
        <f t="shared" si="42"/>
        <v>0</v>
      </c>
      <c r="W36">
        <f t="shared" si="33"/>
        <v>0</v>
      </c>
      <c r="X36">
        <f t="shared" si="34"/>
        <v>0</v>
      </c>
      <c r="Y36">
        <f t="shared" si="35"/>
        <v>0</v>
      </c>
      <c r="Z36">
        <f t="shared" si="36"/>
        <v>0</v>
      </c>
      <c r="AA36">
        <f t="shared" si="37"/>
        <v>0</v>
      </c>
      <c r="AB36">
        <f t="shared" si="38"/>
        <v>0</v>
      </c>
    </row>
    <row r="37" spans="1:28" ht="12.75">
      <c r="A37" t="s">
        <v>332</v>
      </c>
      <c r="C37" s="158">
        <f t="shared" si="24"/>
        <v>0</v>
      </c>
      <c r="D37">
        <f>+B$83</f>
        <v>74</v>
      </c>
      <c r="E37">
        <f>+'1 Data'!R81/100</f>
        <v>0.9233333333333333</v>
      </c>
      <c r="F37">
        <f t="shared" si="40"/>
        <v>0.9233333333333333</v>
      </c>
      <c r="G37">
        <v>0</v>
      </c>
      <c r="H37">
        <f t="shared" si="41"/>
        <v>0</v>
      </c>
      <c r="I37">
        <f t="shared" si="25"/>
        <v>0</v>
      </c>
      <c r="J37">
        <f t="shared" si="26"/>
        <v>0</v>
      </c>
      <c r="K37">
        <f t="shared" si="27"/>
        <v>0</v>
      </c>
      <c r="M37" s="171">
        <f t="shared" si="28"/>
        <v>0</v>
      </c>
      <c r="N37" s="171">
        <f t="shared" si="29"/>
        <v>0</v>
      </c>
      <c r="O37" s="171">
        <f t="shared" si="30"/>
        <v>0</v>
      </c>
      <c r="P37" s="171">
        <f t="shared" si="31"/>
        <v>0</v>
      </c>
      <c r="Q37" s="171">
        <f t="shared" si="32"/>
        <v>0</v>
      </c>
      <c r="U37">
        <f t="shared" si="43"/>
        <v>12</v>
      </c>
      <c r="V37">
        <f t="shared" si="42"/>
        <v>0</v>
      </c>
      <c r="W37">
        <f t="shared" si="33"/>
        <v>0</v>
      </c>
      <c r="X37">
        <f t="shared" si="34"/>
        <v>0</v>
      </c>
      <c r="Y37">
        <f t="shared" si="35"/>
        <v>0</v>
      </c>
      <c r="Z37">
        <f t="shared" si="36"/>
        <v>0</v>
      </c>
      <c r="AA37">
        <f t="shared" si="37"/>
        <v>0</v>
      </c>
      <c r="AB37">
        <f t="shared" si="38"/>
        <v>0</v>
      </c>
    </row>
    <row r="38" spans="1:28" ht="12.75">
      <c r="A38" t="s">
        <v>333</v>
      </c>
      <c r="C38" s="158">
        <f t="shared" si="24"/>
        <v>0</v>
      </c>
      <c r="D38">
        <f>+B$83</f>
        <v>74</v>
      </c>
      <c r="E38">
        <f>+'1 Data'!S81/100</f>
        <v>0.9533333333333333</v>
      </c>
      <c r="F38">
        <f t="shared" si="40"/>
        <v>0.9533333333333333</v>
      </c>
      <c r="G38">
        <v>0</v>
      </c>
      <c r="H38">
        <f t="shared" si="41"/>
        <v>0</v>
      </c>
      <c r="I38">
        <f t="shared" si="25"/>
        <v>0</v>
      </c>
      <c r="J38">
        <f t="shared" si="26"/>
        <v>0</v>
      </c>
      <c r="K38">
        <f t="shared" si="27"/>
        <v>0</v>
      </c>
      <c r="M38" s="171">
        <f t="shared" si="28"/>
        <v>0</v>
      </c>
      <c r="N38" s="171">
        <f t="shared" si="29"/>
        <v>0</v>
      </c>
      <c r="O38" s="171">
        <f t="shared" si="30"/>
        <v>0</v>
      </c>
      <c r="P38" s="171">
        <f t="shared" si="31"/>
        <v>0</v>
      </c>
      <c r="Q38" s="171">
        <f t="shared" si="32"/>
        <v>0</v>
      </c>
      <c r="U38">
        <f t="shared" si="43"/>
        <v>13</v>
      </c>
      <c r="V38">
        <f t="shared" si="42"/>
        <v>0</v>
      </c>
      <c r="W38">
        <f t="shared" si="33"/>
        <v>0</v>
      </c>
      <c r="X38">
        <f t="shared" si="34"/>
        <v>0</v>
      </c>
      <c r="Y38">
        <f t="shared" si="35"/>
        <v>0</v>
      </c>
      <c r="Z38">
        <f t="shared" si="36"/>
        <v>0</v>
      </c>
      <c r="AA38">
        <f t="shared" si="37"/>
        <v>0</v>
      </c>
      <c r="AB38">
        <f t="shared" si="38"/>
        <v>0</v>
      </c>
    </row>
    <row r="39" spans="1:28" ht="12.75">
      <c r="A39" t="s">
        <v>336</v>
      </c>
      <c r="C39" s="158">
        <f t="shared" si="24"/>
        <v>0</v>
      </c>
      <c r="D39">
        <f>+B$83</f>
        <v>74</v>
      </c>
      <c r="E39">
        <f>+'1 Data'!T81/100</f>
        <v>0</v>
      </c>
      <c r="F39">
        <f t="shared" si="40"/>
        <v>1</v>
      </c>
      <c r="G39">
        <v>0</v>
      </c>
      <c r="H39">
        <f t="shared" si="41"/>
        <v>0</v>
      </c>
      <c r="I39">
        <f t="shared" si="25"/>
        <v>0</v>
      </c>
      <c r="J39">
        <f t="shared" si="26"/>
        <v>0</v>
      </c>
      <c r="K39">
        <f t="shared" si="27"/>
        <v>0</v>
      </c>
      <c r="M39" s="171">
        <f t="shared" si="28"/>
        <v>0</v>
      </c>
      <c r="N39" s="171">
        <f t="shared" si="29"/>
        <v>0</v>
      </c>
      <c r="O39" s="171">
        <f t="shared" si="30"/>
        <v>0</v>
      </c>
      <c r="P39" s="171">
        <f t="shared" si="31"/>
        <v>0</v>
      </c>
      <c r="Q39" s="171">
        <f t="shared" si="32"/>
        <v>0</v>
      </c>
      <c r="U39">
        <f t="shared" si="43"/>
        <v>14</v>
      </c>
      <c r="V39">
        <f t="shared" si="42"/>
        <v>0</v>
      </c>
      <c r="W39">
        <f t="shared" si="33"/>
        <v>0</v>
      </c>
      <c r="X39">
        <f t="shared" si="34"/>
        <v>0</v>
      </c>
      <c r="Y39">
        <f t="shared" si="35"/>
        <v>0</v>
      </c>
      <c r="Z39">
        <f t="shared" si="36"/>
        <v>0</v>
      </c>
      <c r="AA39">
        <f t="shared" si="37"/>
        <v>0</v>
      </c>
      <c r="AB39">
        <f t="shared" si="38"/>
        <v>0</v>
      </c>
    </row>
    <row r="40" spans="1:28" ht="12.75">
      <c r="A40" t="s">
        <v>334</v>
      </c>
      <c r="C40" s="158">
        <f t="shared" si="24"/>
        <v>0</v>
      </c>
      <c r="D40">
        <f>+C$66</f>
        <v>132.160738566234</v>
      </c>
      <c r="E40">
        <f>+'1 Data'!U81/100</f>
        <v>0.96</v>
      </c>
      <c r="F40">
        <f t="shared" si="40"/>
        <v>0.96</v>
      </c>
      <c r="G40">
        <v>0</v>
      </c>
      <c r="H40">
        <f t="shared" si="41"/>
        <v>0</v>
      </c>
      <c r="I40">
        <f t="shared" si="25"/>
        <v>0</v>
      </c>
      <c r="J40">
        <f t="shared" si="26"/>
        <v>0</v>
      </c>
      <c r="K40">
        <f t="shared" si="27"/>
        <v>0</v>
      </c>
      <c r="M40" s="171">
        <f t="shared" si="28"/>
        <v>0</v>
      </c>
      <c r="N40" s="171">
        <f t="shared" si="29"/>
        <v>0</v>
      </c>
      <c r="O40" s="171">
        <f t="shared" si="30"/>
        <v>0</v>
      </c>
      <c r="P40" s="171">
        <f t="shared" si="31"/>
        <v>0</v>
      </c>
      <c r="Q40" s="171">
        <f t="shared" si="32"/>
        <v>0</v>
      </c>
      <c r="U40">
        <f t="shared" si="43"/>
        <v>15</v>
      </c>
      <c r="V40">
        <f t="shared" si="42"/>
        <v>0</v>
      </c>
      <c r="W40">
        <f t="shared" si="33"/>
        <v>0</v>
      </c>
      <c r="X40">
        <f t="shared" si="34"/>
        <v>0</v>
      </c>
      <c r="Y40">
        <f t="shared" si="35"/>
        <v>0</v>
      </c>
      <c r="Z40">
        <f t="shared" si="36"/>
        <v>0</v>
      </c>
      <c r="AA40">
        <f t="shared" si="37"/>
        <v>0</v>
      </c>
      <c r="AB40">
        <f t="shared" si="38"/>
        <v>0</v>
      </c>
    </row>
    <row r="41" spans="1:28" ht="12.75">
      <c r="A41" t="s">
        <v>335</v>
      </c>
      <c r="C41" s="158">
        <f t="shared" si="24"/>
        <v>0</v>
      </c>
      <c r="D41">
        <f>+C$66</f>
        <v>132.160738566234</v>
      </c>
      <c r="E41">
        <f>+'1 Data'!V81/100</f>
        <v>0.965</v>
      </c>
      <c r="F41">
        <f t="shared" si="40"/>
        <v>0.965</v>
      </c>
      <c r="G41">
        <v>0</v>
      </c>
      <c r="H41">
        <f t="shared" si="41"/>
        <v>0</v>
      </c>
      <c r="I41">
        <f t="shared" si="25"/>
        <v>0</v>
      </c>
      <c r="J41">
        <f t="shared" si="26"/>
        <v>0</v>
      </c>
      <c r="K41">
        <f t="shared" si="27"/>
        <v>0</v>
      </c>
      <c r="M41" s="171">
        <f t="shared" si="28"/>
        <v>0</v>
      </c>
      <c r="N41" s="171">
        <f t="shared" si="29"/>
        <v>0</v>
      </c>
      <c r="O41" s="171">
        <f t="shared" si="30"/>
        <v>0</v>
      </c>
      <c r="P41" s="171">
        <f t="shared" si="31"/>
        <v>0</v>
      </c>
      <c r="Q41" s="171">
        <f t="shared" si="32"/>
        <v>0</v>
      </c>
      <c r="U41">
        <f t="shared" si="43"/>
        <v>16</v>
      </c>
      <c r="V41">
        <f t="shared" si="42"/>
        <v>0</v>
      </c>
      <c r="W41">
        <f t="shared" si="33"/>
        <v>0</v>
      </c>
      <c r="X41">
        <f t="shared" si="34"/>
        <v>0</v>
      </c>
      <c r="Y41">
        <f t="shared" si="35"/>
        <v>0</v>
      </c>
      <c r="Z41">
        <f t="shared" si="36"/>
        <v>0</v>
      </c>
      <c r="AA41">
        <f t="shared" si="37"/>
        <v>0</v>
      </c>
      <c r="AB41">
        <f t="shared" si="38"/>
        <v>0</v>
      </c>
    </row>
    <row r="42" spans="1:28" ht="12.75">
      <c r="A42" t="s">
        <v>337</v>
      </c>
      <c r="C42" s="158">
        <f t="shared" si="24"/>
        <v>0</v>
      </c>
      <c r="D42">
        <v>0</v>
      </c>
      <c r="E42">
        <f>+'1 Data'!W81/100</f>
        <v>0.78</v>
      </c>
      <c r="F42">
        <f t="shared" si="40"/>
        <v>0.78</v>
      </c>
      <c r="G42">
        <v>0</v>
      </c>
      <c r="H42">
        <f t="shared" si="41"/>
        <v>0</v>
      </c>
      <c r="I42">
        <f t="shared" si="25"/>
        <v>0</v>
      </c>
      <c r="J42">
        <f t="shared" si="26"/>
        <v>0</v>
      </c>
      <c r="K42">
        <f t="shared" si="27"/>
        <v>0</v>
      </c>
      <c r="M42" s="171">
        <f t="shared" si="28"/>
        <v>0</v>
      </c>
      <c r="N42" s="171">
        <f t="shared" si="29"/>
        <v>0</v>
      </c>
      <c r="O42" s="171">
        <f t="shared" si="30"/>
        <v>0</v>
      </c>
      <c r="P42" s="171">
        <f t="shared" si="31"/>
        <v>0</v>
      </c>
      <c r="Q42" s="171">
        <f t="shared" si="32"/>
        <v>0</v>
      </c>
      <c r="U42">
        <f t="shared" si="43"/>
        <v>17</v>
      </c>
      <c r="V42">
        <f t="shared" si="42"/>
        <v>0</v>
      </c>
      <c r="W42">
        <f t="shared" si="33"/>
        <v>0</v>
      </c>
      <c r="X42">
        <f t="shared" si="34"/>
        <v>0</v>
      </c>
      <c r="Y42">
        <f t="shared" si="35"/>
        <v>0</v>
      </c>
      <c r="Z42">
        <f t="shared" si="36"/>
        <v>0</v>
      </c>
      <c r="AA42">
        <f t="shared" si="37"/>
        <v>0</v>
      </c>
      <c r="AB42">
        <f t="shared" si="38"/>
        <v>0</v>
      </c>
    </row>
    <row r="43" spans="1:28" ht="12.75">
      <c r="A43" t="s">
        <v>338</v>
      </c>
      <c r="C43" s="158">
        <f t="shared" si="24"/>
        <v>0</v>
      </c>
      <c r="D43">
        <v>0</v>
      </c>
      <c r="E43">
        <f>+'1 Data'!X81/100</f>
        <v>0.855</v>
      </c>
      <c r="F43">
        <f t="shared" si="40"/>
        <v>0.855</v>
      </c>
      <c r="G43">
        <v>0</v>
      </c>
      <c r="H43">
        <f t="shared" si="41"/>
        <v>0</v>
      </c>
      <c r="I43">
        <f t="shared" si="25"/>
        <v>0</v>
      </c>
      <c r="J43">
        <f t="shared" si="26"/>
        <v>0</v>
      </c>
      <c r="K43">
        <f t="shared" si="27"/>
        <v>0</v>
      </c>
      <c r="M43" s="171">
        <f t="shared" si="28"/>
        <v>0</v>
      </c>
      <c r="N43" s="171">
        <f t="shared" si="29"/>
        <v>0</v>
      </c>
      <c r="O43" s="171">
        <f t="shared" si="30"/>
        <v>0</v>
      </c>
      <c r="P43" s="171">
        <f t="shared" si="31"/>
        <v>0</v>
      </c>
      <c r="Q43" s="171">
        <f t="shared" si="32"/>
        <v>0</v>
      </c>
      <c r="U43">
        <f t="shared" si="43"/>
        <v>18</v>
      </c>
      <c r="V43">
        <f t="shared" si="42"/>
        <v>0</v>
      </c>
      <c r="W43">
        <f t="shared" si="33"/>
        <v>0</v>
      </c>
      <c r="X43">
        <f t="shared" si="34"/>
        <v>0</v>
      </c>
      <c r="Y43">
        <f t="shared" si="35"/>
        <v>0</v>
      </c>
      <c r="Z43">
        <f t="shared" si="36"/>
        <v>0</v>
      </c>
      <c r="AA43">
        <f t="shared" si="37"/>
        <v>0</v>
      </c>
      <c r="AB43">
        <f t="shared" si="38"/>
        <v>0</v>
      </c>
    </row>
    <row r="44" spans="1:28" ht="12.75">
      <c r="A44" t="s">
        <v>339</v>
      </c>
      <c r="C44" s="158">
        <f t="shared" si="24"/>
        <v>0</v>
      </c>
      <c r="D44">
        <v>0</v>
      </c>
      <c r="E44">
        <f>+'1 Data'!Y81/100</f>
        <v>0</v>
      </c>
      <c r="F44">
        <f t="shared" si="40"/>
        <v>1</v>
      </c>
      <c r="G44">
        <v>0</v>
      </c>
      <c r="H44">
        <f t="shared" si="41"/>
        <v>0</v>
      </c>
      <c r="I44">
        <f t="shared" si="25"/>
        <v>0</v>
      </c>
      <c r="J44">
        <f t="shared" si="26"/>
        <v>0</v>
      </c>
      <c r="K44">
        <f t="shared" si="27"/>
        <v>0</v>
      </c>
      <c r="M44" s="171">
        <f t="shared" si="28"/>
        <v>0</v>
      </c>
      <c r="N44" s="171">
        <f t="shared" si="29"/>
        <v>0</v>
      </c>
      <c r="O44" s="171">
        <f t="shared" si="30"/>
        <v>0</v>
      </c>
      <c r="P44" s="171">
        <f t="shared" si="31"/>
        <v>0</v>
      </c>
      <c r="Q44" s="171">
        <f t="shared" si="32"/>
        <v>0</v>
      </c>
      <c r="U44">
        <f t="shared" si="43"/>
        <v>19</v>
      </c>
      <c r="V44">
        <f t="shared" si="42"/>
        <v>0</v>
      </c>
      <c r="W44">
        <f t="shared" si="33"/>
        <v>0</v>
      </c>
      <c r="X44">
        <f t="shared" si="34"/>
        <v>0</v>
      </c>
      <c r="Y44">
        <f t="shared" si="35"/>
        <v>0</v>
      </c>
      <c r="Z44">
        <f t="shared" si="36"/>
        <v>0</v>
      </c>
      <c r="AA44">
        <f t="shared" si="37"/>
        <v>0</v>
      </c>
      <c r="AB44">
        <f t="shared" si="38"/>
        <v>0</v>
      </c>
    </row>
    <row r="45" spans="1:28" ht="12.75">
      <c r="A45" t="s">
        <v>114</v>
      </c>
      <c r="C45" s="158">
        <f t="shared" si="24"/>
        <v>0</v>
      </c>
      <c r="D45">
        <f>+D5*E5</f>
        <v>95.16569281987147</v>
      </c>
      <c r="E45">
        <f>+'1 Data'!Z81/100</f>
        <v>0</v>
      </c>
      <c r="F45">
        <f t="shared" si="40"/>
        <v>1</v>
      </c>
      <c r="G45">
        <v>0</v>
      </c>
      <c r="H45">
        <f t="shared" si="41"/>
        <v>0</v>
      </c>
      <c r="I45">
        <f t="shared" si="25"/>
        <v>0</v>
      </c>
      <c r="J45">
        <f t="shared" si="26"/>
        <v>0</v>
      </c>
      <c r="K45">
        <f t="shared" si="27"/>
        <v>0</v>
      </c>
      <c r="M45" s="171">
        <f t="shared" si="28"/>
        <v>0</v>
      </c>
      <c r="N45" s="171">
        <f t="shared" si="29"/>
        <v>0</v>
      </c>
      <c r="O45" s="171">
        <f t="shared" si="30"/>
        <v>0</v>
      </c>
      <c r="P45" s="171">
        <f t="shared" si="31"/>
        <v>0</v>
      </c>
      <c r="Q45" s="171">
        <f t="shared" si="32"/>
        <v>0</v>
      </c>
      <c r="U45">
        <f t="shared" si="43"/>
        <v>20</v>
      </c>
      <c r="V45">
        <f t="shared" si="42"/>
        <v>0</v>
      </c>
      <c r="W45">
        <f t="shared" si="33"/>
        <v>0</v>
      </c>
      <c r="X45">
        <f t="shared" si="34"/>
        <v>0</v>
      </c>
      <c r="Y45">
        <f t="shared" si="35"/>
        <v>0</v>
      </c>
      <c r="Z45">
        <f t="shared" si="36"/>
        <v>0</v>
      </c>
      <c r="AA45">
        <f t="shared" si="37"/>
        <v>0</v>
      </c>
      <c r="AB45">
        <f t="shared" si="38"/>
        <v>0</v>
      </c>
    </row>
    <row r="47" ht="12.75">
      <c r="A47" s="1" t="s">
        <v>468</v>
      </c>
    </row>
    <row r="48" spans="1:3" ht="12.75">
      <c r="A48" t="s">
        <v>168</v>
      </c>
      <c r="B48">
        <f ca="1">+INDIRECT("'5 Energy costs'!"&amp;ADDRESS(ROW('[1]5 5 Energy costs'!D30),COLUMN('[1]5 5 Energy costs'!D30)+'user2 calculation'!$C$2-1))</f>
        <v>0.05930800000000001</v>
      </c>
      <c r="C48" t="s">
        <v>193</v>
      </c>
    </row>
    <row r="49" spans="1:3" ht="12.75">
      <c r="A49" t="s">
        <v>173</v>
      </c>
      <c r="B49">
        <f ca="1">+INDIRECT("'5 Energy costs'!"&amp;ADDRESS(ROW('[1]5 5 Energy costs'!D31),COLUMN('[1]5 5 Energy costs'!D31)+'user2 calculation'!$C$2-1))</f>
        <v>0.04454568832504714</v>
      </c>
      <c r="C49" t="s">
        <v>193</v>
      </c>
    </row>
    <row r="50" spans="1:3" ht="12.75">
      <c r="A50" t="s">
        <v>174</v>
      </c>
      <c r="B50">
        <f ca="1">+INDIRECT("'5 Energy costs'!"&amp;ADDRESS(ROW('[1]5 5 Energy costs'!D32),COLUMN('[1]5 5 Energy costs'!D32)+'user2 calculation'!$C$2-1))</f>
        <v>0.158</v>
      </c>
      <c r="C50" t="s">
        <v>193</v>
      </c>
    </row>
    <row r="52" spans="1:3" ht="12.75">
      <c r="A52" s="1" t="s">
        <v>413</v>
      </c>
      <c r="C52" t="s">
        <v>414</v>
      </c>
    </row>
    <row r="53" spans="1:3" ht="12.75">
      <c r="A53" t="s">
        <v>94</v>
      </c>
      <c r="B53" s="161">
        <f ca="1">+INDIRECT("'4 El Conversion factors'!"&amp;ADDRESS(ROW('4 El Conversion factors'!C17),COLUMN('4 El Conversion factors'!C17)+'user2 calculation'!$C$2-1))</f>
        <v>0.3348113905139414</v>
      </c>
      <c r="C53" s="158">
        <f>+B82/B69</f>
        <v>120.2248237290721</v>
      </c>
    </row>
    <row r="54" spans="1:3" ht="12.75">
      <c r="A54" t="s">
        <v>302</v>
      </c>
      <c r="B54" s="161">
        <f ca="1">+INDIRECT("'4 El Conversion factors'!"&amp;ADDRESS(ROW('4 El Conversion factors'!C18),COLUMN('4 El Conversion factors'!C18)+'user2 calculation'!$C$2-1))</f>
        <v>0.050579234093069816</v>
      </c>
      <c r="C54" s="158">
        <f>+B82/B70</f>
        <v>87.93783038650956</v>
      </c>
    </row>
    <row r="55" spans="1:3" ht="12.75">
      <c r="A55" t="s">
        <v>203</v>
      </c>
      <c r="B55" s="161">
        <f ca="1">+INDIRECT("'4 El Conversion factors'!"&amp;ADDRESS(ROW('4 El Conversion factors'!C19),COLUMN('4 El Conversion factors'!C19)+'user2 calculation'!$C$2-1))</f>
        <v>0.0069794815817140095</v>
      </c>
      <c r="C55" s="158">
        <f>+B83/B71</f>
        <v>197.89699006323397</v>
      </c>
    </row>
    <row r="56" spans="1:3" ht="12.75">
      <c r="A56" t="s">
        <v>303</v>
      </c>
      <c r="B56" s="161">
        <f ca="1">+INDIRECT("'4 El Conversion factors'!"&amp;ADDRESS(ROW('4 El Conversion factors'!C20),COLUMN('4 El Conversion factors'!C20)+'user2 calculation'!$C$2-1))</f>
        <v>0.0066449694914913204</v>
      </c>
      <c r="C56" s="158">
        <f>+B83/B72</f>
        <v>117.78682738655175</v>
      </c>
    </row>
    <row r="57" spans="1:3" ht="12.75">
      <c r="A57" t="s">
        <v>95</v>
      </c>
      <c r="B57" s="161">
        <f ca="1">+INDIRECT("'4 El Conversion factors'!"&amp;ADDRESS(ROW('4 El Conversion factors'!C21),COLUMN('4 El Conversion factors'!C21)+'user2 calculation'!$C$2-1))</f>
        <v>0.3410866361162392</v>
      </c>
      <c r="C57" s="158">
        <f>+B84/B73</f>
        <v>248.77466176700656</v>
      </c>
    </row>
    <row r="58" spans="1:3" ht="12.75">
      <c r="A58" t="s">
        <v>304</v>
      </c>
      <c r="B58" s="161">
        <f ca="1">+INDIRECT("'4 El Conversion factors'!"&amp;ADDRESS(ROW('4 El Conversion factors'!C22),COLUMN('4 El Conversion factors'!C22)+'user2 calculation'!$C$2-1))</f>
        <v>0.0023893720730192108</v>
      </c>
      <c r="C58" s="158">
        <f>+B84/B74</f>
        <v>185.25756230380645</v>
      </c>
    </row>
    <row r="59" spans="1:3" ht="12.75">
      <c r="A59" t="s">
        <v>305</v>
      </c>
      <c r="B59" s="161">
        <f ca="1">+INDIRECT("'4 El Conversion factors'!"&amp;ADDRESS(ROW('4 El Conversion factors'!C23),COLUMN('4 El Conversion factors'!C23)+'user2 calculation'!$C$2-1))</f>
        <v>0.0250531949677309</v>
      </c>
      <c r="C59" s="158">
        <v>0</v>
      </c>
    </row>
    <row r="60" spans="1:3" ht="12.75">
      <c r="A60" t="s">
        <v>306</v>
      </c>
      <c r="B60" s="161">
        <f ca="1">+INDIRECT("'4 El Conversion factors'!"&amp;ADDRESS(ROW('4 El Conversion factors'!C24),COLUMN('4 El Conversion factors'!C24)+'user2 calculation'!$C$2-1))</f>
        <v>0.007364296241894998</v>
      </c>
      <c r="C60" s="158">
        <v>0</v>
      </c>
    </row>
    <row r="61" spans="1:3" ht="12.75">
      <c r="A61" t="s">
        <v>96</v>
      </c>
      <c r="B61" s="161">
        <f ca="1">+INDIRECT("'4 El Conversion factors'!"&amp;ADDRESS(ROW('4 El Conversion factors'!C25),COLUMN('4 El Conversion factors'!C25)+'user2 calculation'!$C$2-1))</f>
        <v>0.01247755247815611</v>
      </c>
      <c r="C61" s="158">
        <v>0</v>
      </c>
    </row>
    <row r="62" spans="1:3" ht="12.75">
      <c r="A62" t="s">
        <v>97</v>
      </c>
      <c r="B62" s="161">
        <f ca="1">+INDIRECT("'4 El Conversion factors'!"&amp;ADDRESS(ROW('4 El Conversion factors'!C26),COLUMN('4 El Conversion factors'!C26)+'user2 calculation'!$C$2-1))</f>
        <v>0.2052797577428231</v>
      </c>
      <c r="C62" s="158">
        <v>0</v>
      </c>
    </row>
    <row r="63" spans="1:3" ht="12.75">
      <c r="A63" t="s">
        <v>307</v>
      </c>
      <c r="B63" s="161">
        <f ca="1">+INDIRECT("'4 El Conversion factors'!"&amp;ADDRESS(ROW('4 El Conversion factors'!C27),COLUMN('4 El Conversion factors'!C27)+'user2 calculation'!$C$2-1))</f>
        <v>2.0121027983319667E-05</v>
      </c>
      <c r="C63" s="158">
        <v>0</v>
      </c>
    </row>
    <row r="64" spans="1:3" ht="12.75">
      <c r="A64" t="s">
        <v>206</v>
      </c>
      <c r="B64" s="161">
        <f ca="1">+INDIRECT("'4 El Conversion factors'!"&amp;ADDRESS(ROW('4 El Conversion factors'!C28),COLUMN('4 El Conversion factors'!C28)+'user2 calculation'!$C$2-1))</f>
        <v>0.007303933157945039</v>
      </c>
      <c r="C64" s="158">
        <v>0</v>
      </c>
    </row>
    <row r="65" spans="1:3" ht="12.75">
      <c r="A65" t="s">
        <v>308</v>
      </c>
      <c r="B65" s="161">
        <f ca="1">+INDIRECT("'4 El Conversion factors'!"&amp;ADDRESS(ROW('4 El Conversion factors'!C29),COLUMN('4 El Conversion factors'!C29)+'user2 calculation'!$C$2-1))</f>
        <v>1.0060513991659834E-05</v>
      </c>
      <c r="C65" s="158">
        <v>0</v>
      </c>
    </row>
    <row r="66" spans="1:3" ht="12.75">
      <c r="A66" t="s">
        <v>111</v>
      </c>
      <c r="B66" s="161">
        <f ca="1">+INDIRECT("'4 El Conversion factors'!"&amp;ADDRESS(ROW('4 El Conversion factors'!C30),COLUMN('4 El Conversion factors'!C30)+'user2 calculation'!$C$2-1))</f>
        <v>1</v>
      </c>
      <c r="C66" s="158">
        <f>+SUMPRODUCT(B53:B65,C53:C65)</f>
        <v>132.160738566234</v>
      </c>
    </row>
    <row r="68" spans="1:2" ht="12.75">
      <c r="A68" s="1" t="s">
        <v>415</v>
      </c>
      <c r="B68" t="s">
        <v>95</v>
      </c>
    </row>
    <row r="69" spans="1:2" ht="12.75">
      <c r="A69" t="s">
        <v>94</v>
      </c>
      <c r="B69" s="161">
        <v>0.4666257621339661</v>
      </c>
    </row>
    <row r="70" spans="1:2" ht="12.75">
      <c r="A70" t="s">
        <v>302</v>
      </c>
      <c r="B70" s="161">
        <v>0.637950694865065</v>
      </c>
    </row>
    <row r="71" spans="1:2" ht="12.75">
      <c r="A71" t="s">
        <v>203</v>
      </c>
      <c r="B71" s="161">
        <v>0.3739319126397769</v>
      </c>
    </row>
    <row r="72" spans="1:2" ht="12.75">
      <c r="A72" t="s">
        <v>303</v>
      </c>
      <c r="B72" s="161">
        <v>0.6282536141087107</v>
      </c>
    </row>
    <row r="73" spans="1:2" ht="12.75">
      <c r="A73" t="s">
        <v>95</v>
      </c>
      <c r="B73" s="161">
        <v>0.3798618369281728</v>
      </c>
    </row>
    <row r="74" spans="1:2" ht="12.75">
      <c r="A74" t="s">
        <v>304</v>
      </c>
      <c r="B74" s="161">
        <v>0.5101006340838499</v>
      </c>
    </row>
    <row r="75" ht="12.75">
      <c r="B75" s="161"/>
    </row>
    <row r="76" spans="1:2" ht="12.75">
      <c r="A76" t="s">
        <v>416</v>
      </c>
      <c r="B76" s="161"/>
    </row>
    <row r="77" spans="1:2" ht="12.75">
      <c r="A77" t="s">
        <v>94</v>
      </c>
      <c r="B77" s="161">
        <v>0.8117794166695641</v>
      </c>
    </row>
    <row r="78" spans="1:2" ht="12.75">
      <c r="A78" t="s">
        <v>203</v>
      </c>
      <c r="B78" s="161">
        <v>0.7172296782064969</v>
      </c>
    </row>
    <row r="79" spans="1:2" ht="12.75">
      <c r="A79" t="s">
        <v>95</v>
      </c>
      <c r="B79" s="161">
        <v>0.7730945210784148</v>
      </c>
    </row>
    <row r="81" ht="12.75">
      <c r="A81" s="1" t="s">
        <v>417</v>
      </c>
    </row>
    <row r="82" spans="1:2" ht="12.75">
      <c r="A82" t="s">
        <v>94</v>
      </c>
      <c r="B82">
        <f>+'3 Fuel data'!B47</f>
        <v>56.1</v>
      </c>
    </row>
    <row r="83" spans="1:2" ht="12.75">
      <c r="A83" t="s">
        <v>203</v>
      </c>
      <c r="B83">
        <f>+'3 Fuel data'!B20</f>
        <v>74</v>
      </c>
    </row>
    <row r="84" spans="1:2" ht="12.75">
      <c r="A84" t="s">
        <v>95</v>
      </c>
      <c r="B84">
        <f>+'3 Fuel data'!B34</f>
        <v>94.5</v>
      </c>
    </row>
  </sheetData>
  <conditionalFormatting sqref="F26:F45">
    <cfRule type="cellIs" priority="1" dxfId="1" operator="equal" stopIfTrue="1">
      <formula>1</formula>
    </cfRule>
  </conditionalFormatting>
  <printOptions/>
  <pageMargins left="0.75" right="0.75" top="1" bottom="1"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A86"/>
  <sheetViews>
    <sheetView workbookViewId="0" topLeftCell="A40">
      <selection activeCell="C56" sqref="C56"/>
    </sheetView>
  </sheetViews>
  <sheetFormatPr defaultColWidth="11.421875" defaultRowHeight="12.75"/>
  <cols>
    <col min="1" max="1" width="46.00390625" style="0" customWidth="1"/>
    <col min="2" max="2" width="16.421875" style="0" customWidth="1"/>
    <col min="3" max="3" width="38.7109375" style="0" customWidth="1"/>
    <col min="4" max="4" width="22.421875" style="0" customWidth="1"/>
    <col min="5" max="6" width="9.140625" style="0" customWidth="1"/>
    <col min="7" max="7" width="11.00390625" style="0" bestFit="1" customWidth="1"/>
    <col min="8" max="8" width="9.140625" style="0" customWidth="1"/>
    <col min="9" max="9" width="9.57421875" style="0" bestFit="1" customWidth="1"/>
    <col min="10" max="12" width="9.140625" style="0" customWidth="1"/>
    <col min="13" max="13" width="11.00390625" style="0" bestFit="1" customWidth="1"/>
    <col min="14" max="16384" width="9.140625" style="0" customWidth="1"/>
  </cols>
  <sheetData>
    <row r="1" spans="1:22" ht="12.75">
      <c r="A1" t="s">
        <v>120</v>
      </c>
      <c r="B1" t="s">
        <v>350</v>
      </c>
      <c r="C1" t="s">
        <v>351</v>
      </c>
      <c r="V1" t="s">
        <v>421</v>
      </c>
    </row>
    <row r="2" spans="1:27" ht="12.75">
      <c r="A2" t="str">
        <f>+info!E12</f>
        <v>UK</v>
      </c>
      <c r="C2">
        <f>+'END USERS, COST &amp; EMISSIONS'!B4</f>
        <v>5</v>
      </c>
      <c r="V2">
        <f>+'ENVIRONMENTAL IMPACT'!A30</f>
        <v>5</v>
      </c>
      <c r="W2">
        <f>+'ENVIRONMENTAL IMPACT'!F30</f>
        <v>50</v>
      </c>
      <c r="X2">
        <f aca="true" ca="1" t="shared" si="0" ref="X2:X11">+ROUND(INDIRECT(ADDRESS(14+V2,COLUMN(G15)))*W2/100,0)</f>
        <v>0</v>
      </c>
      <c r="Y2">
        <f>+'ENVIRONMENTAL IMPACT'!H30</f>
        <v>5</v>
      </c>
      <c r="Z2">
        <f aca="true" ca="1" t="shared" si="1" ref="Z2:Z11">+INDIRECT(ADDRESS(14+V2,COLUMN(G15)))</f>
        <v>0</v>
      </c>
      <c r="AA2">
        <f aca="true" ca="1" t="shared" si="2" ref="AA2:AA11">+IF(INDIRECT(ADDRESS(14+V2,COLUMN(C15)))=0,0,(INDIRECT(ADDRESS(14+V2,COLUMN(C15)))*INDIRECT(ADDRESS(14+V2,COLUMN(E15)))))</f>
        <v>0</v>
      </c>
    </row>
    <row r="3" spans="22:27" ht="12.75">
      <c r="V3">
        <f>+'ENVIRONMENTAL IMPACT'!A31</f>
        <v>5</v>
      </c>
      <c r="W3">
        <f>+'ENVIRONMENTAL IMPACT'!F31</f>
        <v>10</v>
      </c>
      <c r="X3">
        <f ca="1" t="shared" si="0"/>
        <v>0</v>
      </c>
      <c r="Y3">
        <f>+'ENVIRONMENTAL IMPACT'!H31</f>
        <v>6</v>
      </c>
      <c r="Z3">
        <f ca="1" t="shared" si="1"/>
        <v>0</v>
      </c>
      <c r="AA3">
        <f ca="1" t="shared" si="2"/>
        <v>0</v>
      </c>
    </row>
    <row r="4" spans="1:27" ht="12.75">
      <c r="A4" s="103" t="s">
        <v>230</v>
      </c>
      <c r="B4" t="s">
        <v>352</v>
      </c>
      <c r="C4" t="s">
        <v>412</v>
      </c>
      <c r="D4" t="s">
        <v>418</v>
      </c>
      <c r="G4" s="171"/>
      <c r="M4" s="171"/>
      <c r="N4" s="171"/>
      <c r="O4" s="171"/>
      <c r="P4" s="171"/>
      <c r="Q4" s="171"/>
      <c r="V4">
        <f>+'ENVIRONMENTAL IMPACT'!A32</f>
        <v>10</v>
      </c>
      <c r="W4">
        <f>+'ENVIRONMENTAL IMPACT'!F32</f>
        <v>0</v>
      </c>
      <c r="X4">
        <f ca="1" t="shared" si="0"/>
        <v>0</v>
      </c>
      <c r="Y4">
        <f>+'ENVIRONMENTAL IMPACT'!H32</f>
        <v>21</v>
      </c>
      <c r="Z4">
        <f ca="1" t="shared" si="1"/>
        <v>0</v>
      </c>
      <c r="AA4">
        <f ca="1" t="shared" si="2"/>
        <v>0</v>
      </c>
    </row>
    <row r="5" spans="1:27" ht="12.75">
      <c r="A5" s="104" t="s">
        <v>231</v>
      </c>
      <c r="B5" s="158"/>
      <c r="C5" s="170"/>
      <c r="D5">
        <f>+(B56*C56+B58*C58+B60*C60)/(B56+B58+B60)</f>
        <v>115.6381010394398</v>
      </c>
      <c r="G5" s="172"/>
      <c r="M5" s="171"/>
      <c r="N5" s="171"/>
      <c r="O5" s="171"/>
      <c r="P5" s="171"/>
      <c r="Q5" s="171"/>
      <c r="V5">
        <f>+'ENVIRONMENTAL IMPACT'!A33</f>
        <v>10</v>
      </c>
      <c r="W5">
        <f>+'ENVIRONMENTAL IMPACT'!F33</f>
        <v>0</v>
      </c>
      <c r="X5">
        <f ca="1" t="shared" si="0"/>
        <v>0</v>
      </c>
      <c r="Y5">
        <f>+'ENVIRONMENTAL IMPACT'!H33</f>
        <v>21</v>
      </c>
      <c r="Z5">
        <f ca="1" t="shared" si="1"/>
        <v>0</v>
      </c>
      <c r="AA5">
        <f ca="1" t="shared" si="2"/>
        <v>0</v>
      </c>
    </row>
    <row r="6" spans="1:27" ht="12.75">
      <c r="A6" s="104" t="s">
        <v>232</v>
      </c>
      <c r="B6" s="158"/>
      <c r="C6" s="170"/>
      <c r="G6" s="172"/>
      <c r="M6" s="171"/>
      <c r="N6" s="171"/>
      <c r="O6" s="171"/>
      <c r="P6" s="171"/>
      <c r="Q6" s="171"/>
      <c r="V6">
        <f>+'ENVIRONMENTAL IMPACT'!A34</f>
        <v>10</v>
      </c>
      <c r="W6">
        <f>+'ENVIRONMENTAL IMPACT'!F34</f>
        <v>0</v>
      </c>
      <c r="X6">
        <f ca="1" t="shared" si="0"/>
        <v>0</v>
      </c>
      <c r="Y6">
        <f>+'ENVIRONMENTAL IMPACT'!H34</f>
        <v>21</v>
      </c>
      <c r="Z6">
        <f ca="1" t="shared" si="1"/>
        <v>0</v>
      </c>
      <c r="AA6">
        <f ca="1" t="shared" si="2"/>
        <v>0</v>
      </c>
    </row>
    <row r="7" spans="1:27" ht="12.75">
      <c r="A7" s="104" t="s">
        <v>233</v>
      </c>
      <c r="B7" s="158"/>
      <c r="C7" s="170"/>
      <c r="G7" s="172"/>
      <c r="M7" s="171"/>
      <c r="N7" s="171"/>
      <c r="O7" s="171"/>
      <c r="P7" s="171"/>
      <c r="Q7" s="171"/>
      <c r="V7">
        <f>+'ENVIRONMENTAL IMPACT'!A35</f>
        <v>10</v>
      </c>
      <c r="W7">
        <f>+'ENVIRONMENTAL IMPACT'!F35</f>
        <v>0</v>
      </c>
      <c r="X7">
        <f ca="1" t="shared" si="0"/>
        <v>0</v>
      </c>
      <c r="Y7">
        <f>+'ENVIRONMENTAL IMPACT'!H35</f>
        <v>21</v>
      </c>
      <c r="Z7">
        <f ca="1" t="shared" si="1"/>
        <v>0</v>
      </c>
      <c r="AA7">
        <f ca="1" t="shared" si="2"/>
        <v>0</v>
      </c>
    </row>
    <row r="8" spans="1:27" ht="12.75">
      <c r="A8" s="104" t="s">
        <v>234</v>
      </c>
      <c r="B8" s="158"/>
      <c r="C8" s="170"/>
      <c r="E8" s="162"/>
      <c r="G8" s="172"/>
      <c r="M8" s="171"/>
      <c r="N8" s="171"/>
      <c r="O8" s="171"/>
      <c r="P8" s="171"/>
      <c r="Q8" s="171"/>
      <c r="V8">
        <f>+'ENVIRONMENTAL IMPACT'!A36</f>
        <v>10</v>
      </c>
      <c r="W8">
        <f>+'ENVIRONMENTAL IMPACT'!F36</f>
        <v>0</v>
      </c>
      <c r="X8">
        <f ca="1" t="shared" si="0"/>
        <v>0</v>
      </c>
      <c r="Y8">
        <f>+'ENVIRONMENTAL IMPACT'!H36</f>
        <v>21</v>
      </c>
      <c r="Z8">
        <f ca="1" t="shared" si="1"/>
        <v>0</v>
      </c>
      <c r="AA8">
        <f ca="1" t="shared" si="2"/>
        <v>0</v>
      </c>
    </row>
    <row r="9" spans="1:27" ht="12.75">
      <c r="A9" s="104" t="s">
        <v>235</v>
      </c>
      <c r="B9" s="158"/>
      <c r="C9" s="170"/>
      <c r="G9" s="172"/>
      <c r="V9">
        <f>+'ENVIRONMENTAL IMPACT'!A37</f>
        <v>10</v>
      </c>
      <c r="W9">
        <f>+'ENVIRONMENTAL IMPACT'!F37</f>
        <v>0</v>
      </c>
      <c r="X9">
        <f ca="1" t="shared" si="0"/>
        <v>0</v>
      </c>
      <c r="Y9">
        <f>+'ENVIRONMENTAL IMPACT'!H37</f>
        <v>21</v>
      </c>
      <c r="Z9">
        <f ca="1" t="shared" si="1"/>
        <v>0</v>
      </c>
      <c r="AA9">
        <f ca="1" t="shared" si="2"/>
        <v>0</v>
      </c>
    </row>
    <row r="10" spans="1:27" ht="12.75">
      <c r="A10" s="104" t="s">
        <v>236</v>
      </c>
      <c r="B10" s="158"/>
      <c r="C10" s="170"/>
      <c r="E10" s="162"/>
      <c r="G10" s="172"/>
      <c r="M10" s="171"/>
      <c r="N10" s="171"/>
      <c r="O10" s="171"/>
      <c r="P10" s="171"/>
      <c r="Q10" s="171"/>
      <c r="V10">
        <f>+'ENVIRONMENTAL IMPACT'!A38</f>
        <v>10</v>
      </c>
      <c r="W10">
        <f>+'ENVIRONMENTAL IMPACT'!F38</f>
        <v>0</v>
      </c>
      <c r="X10">
        <f ca="1" t="shared" si="0"/>
        <v>0</v>
      </c>
      <c r="Y10">
        <f>+'ENVIRONMENTAL IMPACT'!H38</f>
        <v>21</v>
      </c>
      <c r="Z10">
        <f ca="1" t="shared" si="1"/>
        <v>0</v>
      </c>
      <c r="AA10">
        <f ca="1" t="shared" si="2"/>
        <v>0</v>
      </c>
    </row>
    <row r="11" spans="1:27" ht="12.75">
      <c r="A11" s="111" t="s">
        <v>237</v>
      </c>
      <c r="B11" s="158"/>
      <c r="C11" s="176"/>
      <c r="G11" s="172"/>
      <c r="V11">
        <f>+'ENVIRONMENTAL IMPACT'!A39</f>
        <v>10</v>
      </c>
      <c r="W11">
        <f>+'ENVIRONMENTAL IMPACT'!F39</f>
        <v>0</v>
      </c>
      <c r="X11">
        <f ca="1" t="shared" si="0"/>
        <v>0</v>
      </c>
      <c r="Y11">
        <f>+'ENVIRONMENTAL IMPACT'!H39</f>
        <v>21</v>
      </c>
      <c r="Z11">
        <f ca="1" t="shared" si="1"/>
        <v>0</v>
      </c>
      <c r="AA11">
        <f ca="1" t="shared" si="2"/>
        <v>0</v>
      </c>
    </row>
    <row r="12" spans="1:7" ht="12.75">
      <c r="A12" s="102"/>
      <c r="B12" s="158"/>
      <c r="C12" s="176"/>
      <c r="G12" s="172"/>
    </row>
    <row r="13" spans="1:7" ht="12.75">
      <c r="A13" s="102"/>
      <c r="B13" s="158"/>
      <c r="C13" s="176"/>
      <c r="G13" s="172"/>
    </row>
    <row r="14" spans="1:7" ht="12.75">
      <c r="A14" s="103" t="s">
        <v>238</v>
      </c>
      <c r="B14" s="158"/>
      <c r="C14" s="176"/>
      <c r="G14" s="172"/>
    </row>
    <row r="15" spans="1:22" ht="12.75">
      <c r="A15" s="104" t="s">
        <v>239</v>
      </c>
      <c r="B15" s="158"/>
      <c r="C15" s="170"/>
      <c r="G15" s="172"/>
      <c r="M15" s="171"/>
      <c r="N15" s="171"/>
      <c r="O15" s="171"/>
      <c r="P15" s="171"/>
      <c r="Q15" s="171"/>
      <c r="U15">
        <v>1</v>
      </c>
      <c r="V15">
        <f aca="true" t="shared" si="3" ref="V15:V23">+IF(V$11=U15,X$11,0)+IF(V$10=U15,X$10,0)+IF(V$9=U15,X$9,0)+IF(V$8=U15,X$8,0)+IF(V$7=U15,X$7,0)+IF(V$6=U15,X$6,0)+IF(V$5=U15,X$5,0)+IF(V$4=U15,X$4,0)+IF(V$3=U15,X$3,0)+IF(V$2=U15,X$2,0)</f>
        <v>0</v>
      </c>
    </row>
    <row r="16" spans="1:22" ht="12.75">
      <c r="A16" s="104" t="s">
        <v>240</v>
      </c>
      <c r="B16" s="158"/>
      <c r="C16" s="170"/>
      <c r="G16" s="172"/>
      <c r="M16" s="171"/>
      <c r="N16" s="171"/>
      <c r="O16" s="171"/>
      <c r="P16" s="171"/>
      <c r="Q16" s="171"/>
      <c r="U16">
        <v>2</v>
      </c>
      <c r="V16">
        <f t="shared" si="3"/>
        <v>0</v>
      </c>
    </row>
    <row r="17" spans="1:22" ht="12.75">
      <c r="A17" s="104" t="s">
        <v>241</v>
      </c>
      <c r="B17" s="158"/>
      <c r="C17" s="170"/>
      <c r="G17" s="172"/>
      <c r="M17" s="171"/>
      <c r="N17" s="171"/>
      <c r="O17" s="171"/>
      <c r="P17" s="171"/>
      <c r="Q17" s="171"/>
      <c r="U17">
        <v>3</v>
      </c>
      <c r="V17">
        <f t="shared" si="3"/>
        <v>0</v>
      </c>
    </row>
    <row r="18" spans="1:22" ht="12.75">
      <c r="A18" s="104" t="s">
        <v>242</v>
      </c>
      <c r="B18" s="158"/>
      <c r="C18" s="170"/>
      <c r="G18" s="172"/>
      <c r="M18" s="171"/>
      <c r="N18" s="171"/>
      <c r="O18" s="171"/>
      <c r="P18" s="171"/>
      <c r="Q18" s="171"/>
      <c r="U18">
        <v>4</v>
      </c>
      <c r="V18">
        <f t="shared" si="3"/>
        <v>0</v>
      </c>
    </row>
    <row r="19" spans="1:22" ht="12.75">
      <c r="A19" s="104" t="s">
        <v>243</v>
      </c>
      <c r="B19" s="158"/>
      <c r="C19" s="170"/>
      <c r="G19" s="172"/>
      <c r="M19" s="171"/>
      <c r="N19" s="171"/>
      <c r="O19" s="171"/>
      <c r="P19" s="171"/>
      <c r="Q19" s="171"/>
      <c r="U19">
        <v>5</v>
      </c>
      <c r="V19">
        <f t="shared" si="3"/>
        <v>0</v>
      </c>
    </row>
    <row r="20" spans="1:22" ht="12.75">
      <c r="A20" s="104" t="s">
        <v>244</v>
      </c>
      <c r="B20" s="158"/>
      <c r="C20" s="170"/>
      <c r="G20" s="172"/>
      <c r="M20" s="171"/>
      <c r="N20" s="171"/>
      <c r="O20" s="171"/>
      <c r="P20" s="171"/>
      <c r="Q20" s="171"/>
      <c r="U20">
        <v>6</v>
      </c>
      <c r="V20">
        <f t="shared" si="3"/>
        <v>0</v>
      </c>
    </row>
    <row r="21" spans="1:22" ht="12.75">
      <c r="A21" s="104" t="s">
        <v>245</v>
      </c>
      <c r="B21" s="158"/>
      <c r="C21" s="170"/>
      <c r="G21" s="172"/>
      <c r="M21" s="171"/>
      <c r="N21" s="171"/>
      <c r="O21" s="171"/>
      <c r="P21" s="171"/>
      <c r="Q21" s="171"/>
      <c r="U21">
        <v>7</v>
      </c>
      <c r="V21">
        <f t="shared" si="3"/>
        <v>0</v>
      </c>
    </row>
    <row r="22" spans="1:22" ht="12.75">
      <c r="A22" s="104" t="s">
        <v>246</v>
      </c>
      <c r="B22" s="158"/>
      <c r="C22" s="170"/>
      <c r="E22" s="176"/>
      <c r="G22" s="172"/>
      <c r="M22" s="171"/>
      <c r="N22" s="171"/>
      <c r="O22" s="171"/>
      <c r="P22" s="171"/>
      <c r="Q22" s="171"/>
      <c r="U22">
        <v>8</v>
      </c>
      <c r="V22">
        <f t="shared" si="3"/>
        <v>0</v>
      </c>
    </row>
    <row r="23" spans="1:22" ht="12.75">
      <c r="A23" s="104" t="s">
        <v>247</v>
      </c>
      <c r="B23" s="158"/>
      <c r="C23" s="170"/>
      <c r="G23" s="172"/>
      <c r="M23" s="171"/>
      <c r="N23" s="171"/>
      <c r="O23" s="171"/>
      <c r="P23" s="171"/>
      <c r="Q23" s="171"/>
      <c r="U23">
        <v>9</v>
      </c>
      <c r="V23">
        <f t="shared" si="3"/>
        <v>0</v>
      </c>
    </row>
    <row r="24" spans="1:2" ht="12.75">
      <c r="A24" s="111" t="s">
        <v>237</v>
      </c>
      <c r="B24" s="158"/>
    </row>
    <row r="26" spans="1:24" ht="12.75">
      <c r="A26" t="s">
        <v>321</v>
      </c>
      <c r="C26" s="158">
        <f>+'END USERS, COST &amp; EMISSIONS'!B$5/'user1 calculation'!F26</f>
        <v>23076.923076923078</v>
      </c>
      <c r="D26">
        <f aca="true" t="shared" si="4" ref="D26:D36">+B$84</f>
        <v>56.1</v>
      </c>
      <c r="E26">
        <f>+'1 Data'!F81/100</f>
        <v>0.8666666666666666</v>
      </c>
      <c r="F26">
        <f aca="true" t="shared" si="5" ref="F26:F45">+IF(E26=0,1,E26)</f>
        <v>0.8666666666666666</v>
      </c>
      <c r="H26">
        <f>+C26*3.6/1000*D26</f>
        <v>4660.615384615385</v>
      </c>
      <c r="I26">
        <f>+C26*B$49*D$48</f>
        <v>1137.5947995666309</v>
      </c>
      <c r="M26" s="171"/>
      <c r="N26" s="171"/>
      <c r="O26" s="171"/>
      <c r="P26" s="171"/>
      <c r="Q26" s="171"/>
      <c r="U26">
        <v>1</v>
      </c>
      <c r="V26">
        <f aca="true" t="shared" si="6" ref="V26:V45">+IF(Y$11=U26,X$11,0)+IF(Y$10=U26,X$10,0)+IF(Y$9=U26,X$9,0)+IF(Y$8=U26,X$8,0)+IF(Y$7=U26,X$7,0)+IF(Y$6=U26,X$6,0)+IF(Y$5=U26,X$5,0)+IF(Y$4=U26,X$4,0)+IF(Y$3=U26,X$3,0)+IF(Y$2=U26,X$2,0)</f>
        <v>0</v>
      </c>
      <c r="W26">
        <f aca="true" t="shared" si="7" ref="W26:W45">+IF(Y$11=U26,Z$11,0)+IF(Y$10=U26,Z$10,0)+IF(Y$9=U26,Z$9,0)+IF(Y$8=U26,Z$8,0)+IF(Y$7=U26,Z$7,0)+IF(Y$6=U26,Z$6,0)+IF(Y$5=U26,Z$5,0)+IF(Y$4=U26,Z$4,0)+IF(Y$3=U26,Z$3,0)+IF(Y$2=U26,Z$2,0)</f>
        <v>0</v>
      </c>
      <c r="X26">
        <f aca="true" t="shared" si="8" ref="X26:X45">+IF(W26=0,0,(IF(Y$11=U26,Z$11*AA$11,0)+IF(Y$10=U26,Z$10*AA$10,0)+IF(Y$9=U26,Z$9*AA$9,0)+IF(Y$8=U26,Z$8*AA$8,0)+IF(Y$7=U26,Z$7*AA$7,0)+IF(Y$6=U26,Z$6*AA$6,0)+IF(Y$5=U26,Z$5*AA$5,0)+IF(Y$4=U26,Z$4*AA$4,0)+IF(Y$3=U26,Z$3*AA$3,0)+IF(Y$2=U26,Z$2*AA$2,0))/W26/F26)</f>
        <v>0</v>
      </c>
    </row>
    <row r="27" spans="1:24" ht="12.75">
      <c r="A27" t="s">
        <v>322</v>
      </c>
      <c r="C27" s="158">
        <f>+'END USERS, COST &amp; EMISSIONS'!B$5/'user1 calculation'!F27</f>
        <v>22556.390977443607</v>
      </c>
      <c r="D27">
        <f t="shared" si="4"/>
        <v>56.1</v>
      </c>
      <c r="E27">
        <f>+'1 Data'!G81/100</f>
        <v>0.8866666666666667</v>
      </c>
      <c r="F27">
        <f t="shared" si="5"/>
        <v>0.8866666666666667</v>
      </c>
      <c r="H27">
        <f aca="true" t="shared" si="9" ref="H27:H45">+C27*3.6/1000*D27</f>
        <v>4555.488721804511</v>
      </c>
      <c r="I27">
        <f aca="true" t="shared" si="10" ref="I27:I36">+C27*B$49*D$48</f>
        <v>1111.9347664936993</v>
      </c>
      <c r="M27" s="171"/>
      <c r="N27" s="171"/>
      <c r="O27" s="171"/>
      <c r="P27" s="171"/>
      <c r="Q27" s="171"/>
      <c r="U27">
        <f aca="true" t="shared" si="11" ref="U27:U45">+U26+1</f>
        <v>2</v>
      </c>
      <c r="V27">
        <f t="shared" si="6"/>
        <v>0</v>
      </c>
      <c r="W27">
        <f t="shared" si="7"/>
        <v>0</v>
      </c>
      <c r="X27">
        <f t="shared" si="8"/>
        <v>0</v>
      </c>
    </row>
    <row r="28" spans="1:24" ht="12.75">
      <c r="A28" t="s">
        <v>323</v>
      </c>
      <c r="C28" s="158">
        <f>+'END USERS, COST &amp; EMISSIONS'!B$5/'user1 calculation'!F28</f>
        <v>21660.649819494585</v>
      </c>
      <c r="D28">
        <f t="shared" si="4"/>
        <v>56.1</v>
      </c>
      <c r="E28">
        <f>+'1 Data'!H81/100</f>
        <v>0.9233333333333333</v>
      </c>
      <c r="F28">
        <f t="shared" si="5"/>
        <v>0.9233333333333333</v>
      </c>
      <c r="H28">
        <f t="shared" si="9"/>
        <v>4374.584837545126</v>
      </c>
      <c r="I28">
        <f t="shared" si="10"/>
        <v>1067.7785122286066</v>
      </c>
      <c r="M28" s="171"/>
      <c r="N28" s="171"/>
      <c r="O28" s="171"/>
      <c r="P28" s="171"/>
      <c r="Q28" s="171"/>
      <c r="U28">
        <f t="shared" si="11"/>
        <v>3</v>
      </c>
      <c r="V28">
        <f t="shared" si="6"/>
        <v>0</v>
      </c>
      <c r="W28">
        <f t="shared" si="7"/>
        <v>0</v>
      </c>
      <c r="X28">
        <f t="shared" si="8"/>
        <v>0</v>
      </c>
    </row>
    <row r="29" spans="1:24" ht="12.75">
      <c r="A29" t="s">
        <v>324</v>
      </c>
      <c r="C29" s="158">
        <f>+'END USERS, COST &amp; EMISSIONS'!B$5/'user1 calculation'!F29</f>
        <v>21164.021164021164</v>
      </c>
      <c r="D29">
        <f t="shared" si="4"/>
        <v>56.1</v>
      </c>
      <c r="E29">
        <f>+'1 Data'!I81/100</f>
        <v>0.945</v>
      </c>
      <c r="F29">
        <f t="shared" si="5"/>
        <v>0.945</v>
      </c>
      <c r="H29">
        <f t="shared" si="9"/>
        <v>4274.285714285716</v>
      </c>
      <c r="I29">
        <f t="shared" si="10"/>
        <v>1043.2968179447055</v>
      </c>
      <c r="M29" s="171"/>
      <c r="N29" s="171"/>
      <c r="O29" s="171"/>
      <c r="P29" s="171"/>
      <c r="Q29" s="171"/>
      <c r="U29">
        <f t="shared" si="11"/>
        <v>4</v>
      </c>
      <c r="V29">
        <f t="shared" si="6"/>
        <v>0</v>
      </c>
      <c r="W29">
        <f t="shared" si="7"/>
        <v>0</v>
      </c>
      <c r="X29">
        <f t="shared" si="8"/>
        <v>0</v>
      </c>
    </row>
    <row r="30" spans="1:24" ht="12.75">
      <c r="A30" t="s">
        <v>325</v>
      </c>
      <c r="C30" s="158">
        <f>+'END USERS, COST &amp; EMISSIONS'!B$5/'user1 calculation'!F30</f>
        <v>20270.270270270274</v>
      </c>
      <c r="D30">
        <f t="shared" si="4"/>
        <v>56.1</v>
      </c>
      <c r="E30">
        <f>+'1 Data'!J81/100</f>
        <v>0.9866666666666666</v>
      </c>
      <c r="F30">
        <f t="shared" si="5"/>
        <v>0.9866666666666666</v>
      </c>
      <c r="H30">
        <f t="shared" si="9"/>
        <v>4093.783783783784</v>
      </c>
      <c r="I30">
        <f t="shared" si="10"/>
        <v>999.2386752950136</v>
      </c>
      <c r="M30" s="171"/>
      <c r="N30" s="171"/>
      <c r="O30" s="171"/>
      <c r="P30" s="171"/>
      <c r="Q30" s="171"/>
      <c r="U30">
        <f t="shared" si="11"/>
        <v>5</v>
      </c>
      <c r="V30">
        <f t="shared" si="6"/>
        <v>0</v>
      </c>
      <c r="W30">
        <f t="shared" si="7"/>
        <v>0</v>
      </c>
      <c r="X30">
        <f t="shared" si="8"/>
        <v>0</v>
      </c>
    </row>
    <row r="31" spans="1:24" ht="12.75">
      <c r="A31" t="s">
        <v>326</v>
      </c>
      <c r="C31" s="158">
        <f>+'END USERS, COST &amp; EMISSIONS'!B$5/'user1 calculation'!F31</f>
        <v>20168.067226890755</v>
      </c>
      <c r="D31">
        <f t="shared" si="4"/>
        <v>56.1</v>
      </c>
      <c r="E31">
        <f>+'1 Data'!K81/100</f>
        <v>0.9916666666666667</v>
      </c>
      <c r="F31">
        <f t="shared" si="5"/>
        <v>0.9916666666666667</v>
      </c>
      <c r="H31">
        <f t="shared" si="9"/>
        <v>4073.1428571428573</v>
      </c>
      <c r="I31">
        <f t="shared" si="10"/>
        <v>994.2004971002486</v>
      </c>
      <c r="M31" s="171"/>
      <c r="N31" s="171"/>
      <c r="O31" s="171"/>
      <c r="P31" s="171"/>
      <c r="Q31" s="171"/>
      <c r="U31">
        <f t="shared" si="11"/>
        <v>6</v>
      </c>
      <c r="V31">
        <f t="shared" si="6"/>
        <v>0</v>
      </c>
      <c r="W31">
        <f t="shared" si="7"/>
        <v>0</v>
      </c>
      <c r="X31">
        <f t="shared" si="8"/>
        <v>0</v>
      </c>
    </row>
    <row r="32" spans="1:24" ht="12.75">
      <c r="A32" t="s">
        <v>327</v>
      </c>
      <c r="C32" s="158">
        <f>+'END USERS, COST &amp; EMISSIONS'!B$5/'user1 calculation'!F32</f>
        <v>21052.63157894737</v>
      </c>
      <c r="D32">
        <f t="shared" si="4"/>
        <v>56.1</v>
      </c>
      <c r="E32">
        <f>+'1 Data'!M81/100</f>
        <v>0.95</v>
      </c>
      <c r="F32">
        <f t="shared" si="5"/>
        <v>0.95</v>
      </c>
      <c r="H32">
        <f t="shared" si="9"/>
        <v>4251.789473684211</v>
      </c>
      <c r="I32">
        <f t="shared" si="10"/>
        <v>1037.805782060786</v>
      </c>
      <c r="M32" s="171"/>
      <c r="N32" s="171"/>
      <c r="O32" s="171"/>
      <c r="P32" s="171"/>
      <c r="Q32" s="171"/>
      <c r="U32">
        <f t="shared" si="11"/>
        <v>7</v>
      </c>
      <c r="V32">
        <f t="shared" si="6"/>
        <v>0</v>
      </c>
      <c r="W32">
        <f t="shared" si="7"/>
        <v>0</v>
      </c>
      <c r="X32">
        <f t="shared" si="8"/>
        <v>0</v>
      </c>
    </row>
    <row r="33" spans="1:24" ht="12.75">
      <c r="A33" t="s">
        <v>328</v>
      </c>
      <c r="C33" s="158">
        <f>+'END USERS, COST &amp; EMISSIONS'!B$5/'user1 calculation'!F33</f>
        <v>22222.222222222223</v>
      </c>
      <c r="D33">
        <f t="shared" si="4"/>
        <v>56.1</v>
      </c>
      <c r="E33">
        <f>+'1 Data'!N81/100</f>
        <v>0.9</v>
      </c>
      <c r="F33">
        <f t="shared" si="5"/>
        <v>0.9</v>
      </c>
      <c r="H33">
        <f t="shared" si="9"/>
        <v>4488</v>
      </c>
      <c r="I33">
        <f t="shared" si="10"/>
        <v>1095.4616588419408</v>
      </c>
      <c r="M33" s="171"/>
      <c r="N33" s="171"/>
      <c r="O33" s="171"/>
      <c r="P33" s="171"/>
      <c r="Q33" s="171"/>
      <c r="U33">
        <f t="shared" si="11"/>
        <v>8</v>
      </c>
      <c r="V33">
        <f t="shared" si="6"/>
        <v>0</v>
      </c>
      <c r="W33">
        <f t="shared" si="7"/>
        <v>0</v>
      </c>
      <c r="X33">
        <f t="shared" si="8"/>
        <v>0</v>
      </c>
    </row>
    <row r="34" spans="1:24" ht="12.75">
      <c r="A34" t="s">
        <v>329</v>
      </c>
      <c r="C34" s="158">
        <f>+'END USERS, COST &amp; EMISSIONS'!B$5/'user1 calculation'!F34</f>
        <v>20000</v>
      </c>
      <c r="D34">
        <f t="shared" si="4"/>
        <v>56.1</v>
      </c>
      <c r="E34">
        <f>+'1 Data'!O81/100</f>
        <v>0</v>
      </c>
      <c r="F34">
        <f t="shared" si="5"/>
        <v>1</v>
      </c>
      <c r="H34">
        <f t="shared" si="9"/>
        <v>4039.2000000000003</v>
      </c>
      <c r="I34">
        <f t="shared" si="10"/>
        <v>985.9154929577468</v>
      </c>
      <c r="M34" s="171"/>
      <c r="N34" s="171"/>
      <c r="O34" s="171"/>
      <c r="P34" s="171"/>
      <c r="Q34" s="171"/>
      <c r="U34">
        <f t="shared" si="11"/>
        <v>9</v>
      </c>
      <c r="V34">
        <f t="shared" si="6"/>
        <v>0</v>
      </c>
      <c r="W34">
        <f t="shared" si="7"/>
        <v>0</v>
      </c>
      <c r="X34">
        <f t="shared" si="8"/>
        <v>0</v>
      </c>
    </row>
    <row r="35" spans="1:24" ht="12.75">
      <c r="A35" t="s">
        <v>330</v>
      </c>
      <c r="C35" s="158">
        <f>+'END USERS, COST &amp; EMISSIONS'!B$5/'user1 calculation'!F35</f>
        <v>20000</v>
      </c>
      <c r="D35">
        <f t="shared" si="4"/>
        <v>56.1</v>
      </c>
      <c r="E35">
        <f>+'1 Data'!P81/100</f>
        <v>0</v>
      </c>
      <c r="F35">
        <f t="shared" si="5"/>
        <v>1</v>
      </c>
      <c r="H35">
        <f t="shared" si="9"/>
        <v>4039.2000000000003</v>
      </c>
      <c r="I35">
        <f t="shared" si="10"/>
        <v>985.9154929577468</v>
      </c>
      <c r="M35" s="171"/>
      <c r="N35" s="171"/>
      <c r="O35" s="171"/>
      <c r="P35" s="171"/>
      <c r="Q35" s="171"/>
      <c r="U35">
        <f t="shared" si="11"/>
        <v>10</v>
      </c>
      <c r="V35">
        <f t="shared" si="6"/>
        <v>0</v>
      </c>
      <c r="W35">
        <f t="shared" si="7"/>
        <v>0</v>
      </c>
      <c r="X35">
        <f t="shared" si="8"/>
        <v>0</v>
      </c>
    </row>
    <row r="36" spans="1:24" ht="12.75">
      <c r="A36" t="s">
        <v>331</v>
      </c>
      <c r="C36" s="158">
        <f>+'END USERS, COST &amp; EMISSIONS'!B$5/'user1 calculation'!F36</f>
        <v>20000</v>
      </c>
      <c r="D36">
        <f t="shared" si="4"/>
        <v>56.1</v>
      </c>
      <c r="E36">
        <f>+'1 Data'!Q81/100</f>
        <v>0</v>
      </c>
      <c r="F36">
        <f t="shared" si="5"/>
        <v>1</v>
      </c>
      <c r="H36">
        <f t="shared" si="9"/>
        <v>4039.2000000000003</v>
      </c>
      <c r="I36">
        <f t="shared" si="10"/>
        <v>985.9154929577468</v>
      </c>
      <c r="M36" s="171"/>
      <c r="N36" s="171"/>
      <c r="O36" s="171"/>
      <c r="P36" s="171"/>
      <c r="Q36" s="171"/>
      <c r="U36">
        <f t="shared" si="11"/>
        <v>11</v>
      </c>
      <c r="V36">
        <f t="shared" si="6"/>
        <v>0</v>
      </c>
      <c r="W36">
        <f t="shared" si="7"/>
        <v>0</v>
      </c>
      <c r="X36">
        <f t="shared" si="8"/>
        <v>0</v>
      </c>
    </row>
    <row r="37" spans="1:24" ht="12.75">
      <c r="A37" t="s">
        <v>332</v>
      </c>
      <c r="C37" s="158">
        <f>+'END USERS, COST &amp; EMISSIONS'!B$5/'user1 calculation'!F37</f>
        <v>21660.649819494585</v>
      </c>
      <c r="D37">
        <f>+B$85</f>
        <v>74</v>
      </c>
      <c r="E37">
        <f>+'1 Data'!R81/100</f>
        <v>0.9233333333333333</v>
      </c>
      <c r="F37">
        <f t="shared" si="5"/>
        <v>0.9233333333333333</v>
      </c>
      <c r="H37">
        <f t="shared" si="9"/>
        <v>5770.397111913358</v>
      </c>
      <c r="I37">
        <f>+C37*B$48*D$48</f>
        <v>1040.9772715716683</v>
      </c>
      <c r="M37" s="171"/>
      <c r="N37" s="171"/>
      <c r="O37" s="171"/>
      <c r="P37" s="171"/>
      <c r="Q37" s="171"/>
      <c r="U37">
        <f t="shared" si="11"/>
        <v>12</v>
      </c>
      <c r="V37">
        <f t="shared" si="6"/>
        <v>0</v>
      </c>
      <c r="W37">
        <f t="shared" si="7"/>
        <v>0</v>
      </c>
      <c r="X37">
        <f t="shared" si="8"/>
        <v>0</v>
      </c>
    </row>
    <row r="38" spans="1:24" ht="12.75">
      <c r="A38" t="s">
        <v>333</v>
      </c>
      <c r="C38" s="158">
        <f>+'END USERS, COST &amp; EMISSIONS'!B$5/'user1 calculation'!F38</f>
        <v>20979.02097902098</v>
      </c>
      <c r="D38">
        <f>+B$85</f>
        <v>74</v>
      </c>
      <c r="E38">
        <f>+'1 Data'!S81/100</f>
        <v>0.9533333333333333</v>
      </c>
      <c r="F38">
        <f t="shared" si="5"/>
        <v>0.9533333333333333</v>
      </c>
      <c r="H38">
        <f t="shared" si="9"/>
        <v>5588.81118881119</v>
      </c>
      <c r="I38">
        <f>+C38*B$48*D$48</f>
        <v>1008.2192455431895</v>
      </c>
      <c r="M38" s="171"/>
      <c r="N38" s="171"/>
      <c r="O38" s="171"/>
      <c r="P38" s="171"/>
      <c r="Q38" s="171"/>
      <c r="U38">
        <f t="shared" si="11"/>
        <v>13</v>
      </c>
      <c r="V38">
        <f t="shared" si="6"/>
        <v>0</v>
      </c>
      <c r="W38">
        <f t="shared" si="7"/>
        <v>0</v>
      </c>
      <c r="X38">
        <f t="shared" si="8"/>
        <v>0</v>
      </c>
    </row>
    <row r="39" spans="1:24" ht="12.75">
      <c r="A39" t="s">
        <v>336</v>
      </c>
      <c r="C39" s="158">
        <f>+'END USERS, COST &amp; EMISSIONS'!B$5/'user1 calculation'!F39</f>
        <v>20000</v>
      </c>
      <c r="D39">
        <f>+B$85</f>
        <v>74</v>
      </c>
      <c r="E39">
        <f>+'1 Data'!T81/100</f>
        <v>0</v>
      </c>
      <c r="F39">
        <f t="shared" si="5"/>
        <v>1</v>
      </c>
      <c r="H39">
        <f t="shared" si="9"/>
        <v>5328</v>
      </c>
      <c r="I39">
        <f>+C39*B$48*D$48</f>
        <v>961.169014084507</v>
      </c>
      <c r="M39" s="171"/>
      <c r="N39" s="171"/>
      <c r="O39" s="171"/>
      <c r="P39" s="171"/>
      <c r="Q39" s="171"/>
      <c r="U39">
        <f t="shared" si="11"/>
        <v>14</v>
      </c>
      <c r="V39">
        <f t="shared" si="6"/>
        <v>0</v>
      </c>
      <c r="W39">
        <f t="shared" si="7"/>
        <v>0</v>
      </c>
      <c r="X39">
        <f t="shared" si="8"/>
        <v>0</v>
      </c>
    </row>
    <row r="40" spans="1:24" ht="12.75">
      <c r="A40" t="s">
        <v>334</v>
      </c>
      <c r="C40" s="158">
        <f>+'END USERS, COST &amp; EMISSIONS'!B$5/'user1 calculation'!F40</f>
        <v>20833.333333333336</v>
      </c>
      <c r="D40">
        <f>+C$68</f>
        <v>136.08816070448336</v>
      </c>
      <c r="E40">
        <f>+'1 Data'!U81/100</f>
        <v>0.96</v>
      </c>
      <c r="F40">
        <f t="shared" si="5"/>
        <v>0.96</v>
      </c>
      <c r="H40">
        <f t="shared" si="9"/>
        <v>10206.612052836253</v>
      </c>
      <c r="I40">
        <f>+C40*B$50*D$48</f>
        <v>2897.593896713616</v>
      </c>
      <c r="M40" s="171"/>
      <c r="N40" s="171"/>
      <c r="O40" s="171"/>
      <c r="P40" s="171"/>
      <c r="Q40" s="171"/>
      <c r="U40">
        <f t="shared" si="11"/>
        <v>15</v>
      </c>
      <c r="V40">
        <f t="shared" si="6"/>
        <v>0</v>
      </c>
      <c r="W40">
        <f t="shared" si="7"/>
        <v>0</v>
      </c>
      <c r="X40">
        <f t="shared" si="8"/>
        <v>0</v>
      </c>
    </row>
    <row r="41" spans="1:24" ht="12.75">
      <c r="A41" t="s">
        <v>335</v>
      </c>
      <c r="C41" s="158">
        <f>+'END USERS, COST &amp; EMISSIONS'!B$5/'user1 calculation'!F41</f>
        <v>20725.38860103627</v>
      </c>
      <c r="D41">
        <f>+C$68</f>
        <v>136.08816070448336</v>
      </c>
      <c r="E41">
        <f>+'1 Data'!V81/100</f>
        <v>0.965</v>
      </c>
      <c r="F41">
        <f t="shared" si="5"/>
        <v>0.965</v>
      </c>
      <c r="H41">
        <f t="shared" si="9"/>
        <v>10153.72805256249</v>
      </c>
      <c r="I41">
        <f>+C41*B$50*D$48</f>
        <v>2882.58045683427</v>
      </c>
      <c r="M41" s="171"/>
      <c r="N41" s="171"/>
      <c r="O41" s="171"/>
      <c r="P41" s="171"/>
      <c r="Q41" s="171"/>
      <c r="U41">
        <f t="shared" si="11"/>
        <v>16</v>
      </c>
      <c r="V41">
        <f t="shared" si="6"/>
        <v>0</v>
      </c>
      <c r="W41">
        <f t="shared" si="7"/>
        <v>0</v>
      </c>
      <c r="X41">
        <f t="shared" si="8"/>
        <v>0</v>
      </c>
    </row>
    <row r="42" spans="1:24" ht="12.75">
      <c r="A42" t="s">
        <v>337</v>
      </c>
      <c r="C42" s="158">
        <f>+'END USERS, COST &amp; EMISSIONS'!B$5/'user1 calculation'!F42</f>
        <v>25641.02564102564</v>
      </c>
      <c r="D42">
        <v>0</v>
      </c>
      <c r="E42">
        <f>+'1 Data'!W81/100</f>
        <v>0.78</v>
      </c>
      <c r="F42">
        <f t="shared" si="5"/>
        <v>0.78</v>
      </c>
      <c r="H42">
        <f t="shared" si="9"/>
        <v>0</v>
      </c>
      <c r="I42">
        <f>+C42*B$51*D$48</f>
        <v>0</v>
      </c>
      <c r="M42" s="171"/>
      <c r="N42" s="171"/>
      <c r="O42" s="171"/>
      <c r="P42" s="171"/>
      <c r="Q42" s="171"/>
      <c r="U42">
        <f t="shared" si="11"/>
        <v>17</v>
      </c>
      <c r="V42">
        <f t="shared" si="6"/>
        <v>0</v>
      </c>
      <c r="W42">
        <f t="shared" si="7"/>
        <v>0</v>
      </c>
      <c r="X42">
        <f t="shared" si="8"/>
        <v>0</v>
      </c>
    </row>
    <row r="43" spans="1:24" ht="12.75">
      <c r="A43" t="s">
        <v>338</v>
      </c>
      <c r="C43" s="158">
        <f>+'END USERS, COST &amp; EMISSIONS'!B$5/'user1 calculation'!F43</f>
        <v>23391.812865497075</v>
      </c>
      <c r="D43">
        <v>0</v>
      </c>
      <c r="E43">
        <f>+'1 Data'!X81/100</f>
        <v>0.855</v>
      </c>
      <c r="F43">
        <f t="shared" si="5"/>
        <v>0.855</v>
      </c>
      <c r="H43">
        <f t="shared" si="9"/>
        <v>0</v>
      </c>
      <c r="I43">
        <f>+C43*B$51*D$48</f>
        <v>0</v>
      </c>
      <c r="M43" s="171"/>
      <c r="N43" s="171"/>
      <c r="O43" s="171"/>
      <c r="P43" s="171"/>
      <c r="Q43" s="171"/>
      <c r="U43">
        <f t="shared" si="11"/>
        <v>18</v>
      </c>
      <c r="V43">
        <f t="shared" si="6"/>
        <v>0</v>
      </c>
      <c r="W43">
        <f t="shared" si="7"/>
        <v>0</v>
      </c>
      <c r="X43">
        <f t="shared" si="8"/>
        <v>0</v>
      </c>
    </row>
    <row r="44" spans="1:24" ht="12.75">
      <c r="A44" t="s">
        <v>339</v>
      </c>
      <c r="C44" s="158">
        <f>+'END USERS, COST &amp; EMISSIONS'!B$5/'user1 calculation'!F44</f>
        <v>20000</v>
      </c>
      <c r="D44">
        <v>0</v>
      </c>
      <c r="E44">
        <f>+'1 Data'!Y81/100</f>
        <v>0</v>
      </c>
      <c r="F44">
        <f t="shared" si="5"/>
        <v>1</v>
      </c>
      <c r="H44">
        <f t="shared" si="9"/>
        <v>0</v>
      </c>
      <c r="I44">
        <f>+C44*B$51*D$48</f>
        <v>0</v>
      </c>
      <c r="M44" s="171"/>
      <c r="N44" s="171"/>
      <c r="O44" s="171"/>
      <c r="P44" s="171"/>
      <c r="Q44" s="171"/>
      <c r="U44">
        <f t="shared" si="11"/>
        <v>19</v>
      </c>
      <c r="V44">
        <f t="shared" si="6"/>
        <v>0</v>
      </c>
      <c r="W44">
        <f t="shared" si="7"/>
        <v>0</v>
      </c>
      <c r="X44">
        <f t="shared" si="8"/>
        <v>0</v>
      </c>
    </row>
    <row r="45" spans="1:24" ht="12.75">
      <c r="A45" t="s">
        <v>114</v>
      </c>
      <c r="C45" s="158">
        <f>+'END USERS, COST &amp; EMISSIONS'!B$5/'user1 calculation'!F45</f>
        <v>20000</v>
      </c>
      <c r="D45">
        <f>+D$5</f>
        <v>115.6381010394398</v>
      </c>
      <c r="E45">
        <f>+'1 Data'!Z81/100</f>
        <v>0</v>
      </c>
      <c r="F45">
        <f t="shared" si="5"/>
        <v>1</v>
      </c>
      <c r="H45">
        <f t="shared" si="9"/>
        <v>8325.943274839667</v>
      </c>
      <c r="I45">
        <f>+C45*B$52*D$48</f>
        <v>0</v>
      </c>
      <c r="M45" s="171"/>
      <c r="N45" s="171"/>
      <c r="O45" s="171"/>
      <c r="P45" s="171"/>
      <c r="Q45" s="171"/>
      <c r="U45">
        <f t="shared" si="11"/>
        <v>20</v>
      </c>
      <c r="V45">
        <f t="shared" si="6"/>
        <v>0</v>
      </c>
      <c r="W45">
        <f t="shared" si="7"/>
        <v>0</v>
      </c>
      <c r="X45">
        <f t="shared" si="8"/>
        <v>0</v>
      </c>
    </row>
    <row r="47" spans="1:4" ht="12.75">
      <c r="A47" s="1" t="s">
        <v>353</v>
      </c>
      <c r="D47" t="s">
        <v>425</v>
      </c>
    </row>
    <row r="48" spans="1:4" ht="12.75">
      <c r="A48" t="s">
        <v>168</v>
      </c>
      <c r="B48">
        <f ca="1">+INDIRECT("'5 Energy costs'!"&amp;ADDRESS(ROW('5 Energy costs'!D30),COLUMN('5 Energy costs'!D30)+'user1 calculation'!$C$2-1))</f>
        <v>0.068243</v>
      </c>
      <c r="C48" t="s">
        <v>193</v>
      </c>
      <c r="D48" s="173">
        <f ca="1">+INDIRECT("'5 Energy costs'!"&amp;ADDRESS(ROW('5 Energy costs'!D36),COLUMN('5 Energy costs'!D36)+'user1 calculation'!$C$2-1))</f>
        <v>0.7042253521126761</v>
      </c>
    </row>
    <row r="49" spans="1:3" ht="12.75">
      <c r="A49" t="s">
        <v>173</v>
      </c>
      <c r="B49">
        <f ca="1">+INDIRECT("'5 Energy costs'!"&amp;ADDRESS(ROW('5 Energy costs'!D31),COLUMN('5 Energy costs'!D31)+'user1 calculation'!$C$2-1))</f>
        <v>0.07</v>
      </c>
      <c r="C49" t="s">
        <v>193</v>
      </c>
    </row>
    <row r="50" spans="1:3" ht="12.75">
      <c r="A50" t="s">
        <v>174</v>
      </c>
      <c r="B50">
        <f ca="1">+INDIRECT("'5 Energy costs'!"&amp;ADDRESS(ROW('5 Energy costs'!D32),COLUMN('5 Energy costs'!D32)+'user1 calculation'!$C$2-1))</f>
        <v>0.1975</v>
      </c>
      <c r="C50" t="s">
        <v>193</v>
      </c>
    </row>
    <row r="51" ht="12.75">
      <c r="A51" t="s">
        <v>424</v>
      </c>
    </row>
    <row r="52" ht="12.75">
      <c r="A52" t="s">
        <v>114</v>
      </c>
    </row>
    <row r="54" spans="1:3" ht="12.75">
      <c r="A54" s="1" t="s">
        <v>413</v>
      </c>
      <c r="C54" t="s">
        <v>414</v>
      </c>
    </row>
    <row r="55" spans="1:3" ht="12.75">
      <c r="A55" t="s">
        <v>94</v>
      </c>
      <c r="B55" s="161">
        <f ca="1">+INDIRECT("'4 El Conversion factors'!"&amp;ADDRESS(ROW('4 El Conversion factors'!C17),COLUMN('4 El Conversion factors'!C17)+'user1 calculation'!$C$2-1))</f>
        <v>0.03646495880384367</v>
      </c>
      <c r="C55" s="158">
        <f>+B84/B71</f>
        <v>120.2248237290721</v>
      </c>
    </row>
    <row r="56" spans="1:3" ht="12.75">
      <c r="A56" t="s">
        <v>302</v>
      </c>
      <c r="B56" s="161">
        <f ca="1">+INDIRECT("'4 El Conversion factors'!"&amp;ADDRESS(ROW('4 El Conversion factors'!C18),COLUMN('4 El Conversion factors'!C18)+'user1 calculation'!$C$2-1))</f>
        <v>0.07671520180571592</v>
      </c>
      <c r="C56" s="158">
        <f>+B84/B72</f>
        <v>87.93783038650956</v>
      </c>
    </row>
    <row r="57" spans="1:3" ht="12.75">
      <c r="A57" t="s">
        <v>203</v>
      </c>
      <c r="B57" s="161">
        <f ca="1">+INDIRECT("'4 El Conversion factors'!"&amp;ADDRESS(ROW('4 El Conversion factors'!C19),COLUMN('4 El Conversion factors'!C19)+'user1 calculation'!$C$2-1))</f>
        <v>0.011556451455075641</v>
      </c>
      <c r="C57" s="158">
        <f>+B85/B73</f>
        <v>197.89699006323397</v>
      </c>
    </row>
    <row r="58" spans="1:3" ht="12.75">
      <c r="A58" t="s">
        <v>303</v>
      </c>
      <c r="B58" s="161">
        <f ca="1">+INDIRECT("'4 El Conversion factors'!"&amp;ADDRESS(ROW('4 El Conversion factors'!C20),COLUMN('4 El Conversion factors'!C20)+'user1 calculation'!$C$2-1))</f>
        <v>0.005703205015297702</v>
      </c>
      <c r="C58" s="158">
        <f>+B85/B74</f>
        <v>117.78682738655175</v>
      </c>
    </row>
    <row r="59" spans="1:3" ht="12.75">
      <c r="A59" t="s">
        <v>95</v>
      </c>
      <c r="B59" s="161">
        <f ca="1">+INDIRECT("'4 El Conversion factors'!"&amp;ADDRESS(ROW('4 El Conversion factors'!C21),COLUMN('4 El Conversion factors'!C21)+'user1 calculation'!$C$2-1))</f>
        <v>0.4678014364835509</v>
      </c>
      <c r="C59" s="158">
        <f>+B86/B75</f>
        <v>248.77466176700656</v>
      </c>
    </row>
    <row r="60" spans="1:3" ht="12.75">
      <c r="A60" t="s">
        <v>304</v>
      </c>
      <c r="B60" s="161">
        <f ca="1">+INDIRECT("'4 El Conversion factors'!"&amp;ADDRESS(ROW('4 El Conversion factors'!C22),COLUMN('4 El Conversion factors'!C22)+'user1 calculation'!$C$2-1))</f>
        <v>0.03034750898617662</v>
      </c>
      <c r="C60" s="158">
        <f>+B86/B76</f>
        <v>185.25756230380645</v>
      </c>
    </row>
    <row r="61" spans="1:3" ht="12.75">
      <c r="A61" t="s">
        <v>305</v>
      </c>
      <c r="B61" s="161">
        <f ca="1">+INDIRECT("'4 El Conversion factors'!"&amp;ADDRESS(ROW('4 El Conversion factors'!C23),COLUMN('4 El Conversion factors'!C23)+'user1 calculation'!$C$2-1))</f>
        <v>2.9355930876568095E-05</v>
      </c>
      <c r="C61" s="158">
        <v>0</v>
      </c>
    </row>
    <row r="62" spans="1:3" ht="12.75">
      <c r="A62" t="s">
        <v>306</v>
      </c>
      <c r="B62" s="161">
        <f ca="1">+INDIRECT("'4 El Conversion factors'!"&amp;ADDRESS(ROW('4 El Conversion factors'!C24),COLUMN('4 El Conversion factors'!C24)+'user1 calculation'!$C$2-1))</f>
        <v>0.02702539614197833</v>
      </c>
      <c r="C62" s="158">
        <v>0</v>
      </c>
    </row>
    <row r="63" spans="1:3" ht="12.75">
      <c r="A63" t="s">
        <v>96</v>
      </c>
      <c r="B63" s="161">
        <f ca="1">+INDIRECT("'4 El Conversion factors'!"&amp;ADDRESS(ROW('4 El Conversion factors'!C25),COLUMN('4 El Conversion factors'!C25)+'user1 calculation'!$C$2-1))</f>
        <v>0.03193436013855999</v>
      </c>
      <c r="C63" s="158">
        <v>0</v>
      </c>
    </row>
    <row r="64" spans="1:3" ht="12.75">
      <c r="A64" t="s">
        <v>97</v>
      </c>
      <c r="B64" s="161">
        <f ca="1">+INDIRECT("'4 El Conversion factors'!"&amp;ADDRESS(ROW('4 El Conversion factors'!C26),COLUMN('4 El Conversion factors'!C26)+'user1 calculation'!$C$2-1))</f>
        <v>0.2659239616154895</v>
      </c>
      <c r="C64" s="158">
        <v>0</v>
      </c>
    </row>
    <row r="65" spans="1:3" ht="12.75">
      <c r="A65" t="s">
        <v>307</v>
      </c>
      <c r="B65" s="161">
        <f ca="1">+INDIRECT("'4 El Conversion factors'!"&amp;ADDRESS(ROW('4 El Conversion factors'!C27),COLUMN('4 El Conversion factors'!C27)+'user1 calculation'!$C$2-1))</f>
        <v>0.002090794632431128</v>
      </c>
      <c r="C65" s="158">
        <v>0</v>
      </c>
    </row>
    <row r="66" spans="1:3" ht="12.75">
      <c r="A66" t="s">
        <v>206</v>
      </c>
      <c r="B66" s="161">
        <f ca="1">+INDIRECT("'4 El Conversion factors'!"&amp;ADDRESS(ROW('4 El Conversion factors'!C28),COLUMN('4 El Conversion factors'!C28)+'user1 calculation'!$C$2-1))</f>
        <v>0.04440736899100404</v>
      </c>
      <c r="C66" s="158">
        <v>0</v>
      </c>
    </row>
    <row r="67" spans="1:3" ht="12.75">
      <c r="A67" t="s">
        <v>308</v>
      </c>
      <c r="B67" s="161">
        <f ca="1">+INDIRECT("'4 El Conversion factors'!"&amp;ADDRESS(ROW('4 El Conversion factors'!C29),COLUMN('4 El Conversion factors'!C29)+'user1 calculation'!$C$2-1))</f>
        <v>0</v>
      </c>
      <c r="C67" s="158">
        <v>0</v>
      </c>
    </row>
    <row r="68" spans="1:3" ht="12.75">
      <c r="A68" t="s">
        <v>111</v>
      </c>
      <c r="B68" s="161">
        <f ca="1">+INDIRECT("'4 El Conversion factors'!"&amp;ADDRESS(ROW('4 El Conversion factors'!C30),COLUMN('4 El Conversion factors'!C30)+'user1 calculation'!$C$2-1))</f>
        <v>1</v>
      </c>
      <c r="C68" s="158">
        <f>+SUMPRODUCT(B55:B67,C55:C67)</f>
        <v>136.08816070448336</v>
      </c>
    </row>
    <row r="70" spans="1:2" ht="12.75">
      <c r="A70" s="1" t="s">
        <v>415</v>
      </c>
      <c r="B70" t="s">
        <v>95</v>
      </c>
    </row>
    <row r="71" spans="1:2" ht="12.75">
      <c r="A71" t="s">
        <v>94</v>
      </c>
      <c r="B71" s="161">
        <v>0.4666257621339661</v>
      </c>
    </row>
    <row r="72" spans="1:2" ht="12.75">
      <c r="A72" t="s">
        <v>302</v>
      </c>
      <c r="B72" s="161">
        <v>0.637950694865065</v>
      </c>
    </row>
    <row r="73" spans="1:2" ht="12.75">
      <c r="A73" t="s">
        <v>203</v>
      </c>
      <c r="B73" s="161">
        <v>0.3739319126397769</v>
      </c>
    </row>
    <row r="74" spans="1:2" ht="12.75">
      <c r="A74" t="s">
        <v>303</v>
      </c>
      <c r="B74" s="161">
        <v>0.6282536141087107</v>
      </c>
    </row>
    <row r="75" spans="1:2" ht="12.75">
      <c r="A75" t="s">
        <v>95</v>
      </c>
      <c r="B75" s="161">
        <v>0.3798618369281728</v>
      </c>
    </row>
    <row r="76" spans="1:2" ht="12.75">
      <c r="A76" t="s">
        <v>304</v>
      </c>
      <c r="B76" s="161">
        <v>0.5101006340838499</v>
      </c>
    </row>
    <row r="77" ht="12.75">
      <c r="B77" s="161"/>
    </row>
    <row r="78" spans="1:2" ht="12.75">
      <c r="A78" t="s">
        <v>416</v>
      </c>
      <c r="B78" s="161"/>
    </row>
    <row r="79" spans="1:2" ht="12.75">
      <c r="A79" t="s">
        <v>94</v>
      </c>
      <c r="B79" s="161">
        <v>0.8117794166695641</v>
      </c>
    </row>
    <row r="80" spans="1:2" ht="12.75">
      <c r="A80" t="s">
        <v>203</v>
      </c>
      <c r="B80" s="161">
        <v>0.7172296782064969</v>
      </c>
    </row>
    <row r="81" spans="1:2" ht="12.75">
      <c r="A81" t="s">
        <v>95</v>
      </c>
      <c r="B81" s="161">
        <v>0.7730945210784148</v>
      </c>
    </row>
    <row r="83" ht="12.75">
      <c r="A83" s="1" t="s">
        <v>417</v>
      </c>
    </row>
    <row r="84" spans="1:2" ht="12.75">
      <c r="A84" t="s">
        <v>94</v>
      </c>
      <c r="B84">
        <f>+'3 Fuel data'!B47</f>
        <v>56.1</v>
      </c>
    </row>
    <row r="85" spans="1:2" ht="12.75">
      <c r="A85" t="s">
        <v>203</v>
      </c>
      <c r="B85">
        <f>+'3 Fuel data'!B20</f>
        <v>74</v>
      </c>
    </row>
    <row r="86" spans="1:2" ht="12.75">
      <c r="A86" t="s">
        <v>95</v>
      </c>
      <c r="B86">
        <f>+'3 Fuel data'!B34</f>
        <v>94.5</v>
      </c>
    </row>
  </sheetData>
  <conditionalFormatting sqref="F26:F45">
    <cfRule type="cellIs" priority="1" dxfId="1" operator="equal" stopIfTrue="1">
      <formula>1</formula>
    </cfRule>
  </conditionalFormatting>
  <printOptions/>
  <pageMargins left="0.75" right="0.75" top="1" bottom="1"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106"/>
  <sheetViews>
    <sheetView workbookViewId="0" topLeftCell="A67">
      <selection activeCell="F86" sqref="F86"/>
    </sheetView>
  </sheetViews>
  <sheetFormatPr defaultColWidth="11.421875" defaultRowHeight="12.75"/>
  <cols>
    <col min="1" max="1" width="4.7109375" style="0" customWidth="1"/>
    <col min="2" max="2" width="30.7109375" style="0" customWidth="1"/>
    <col min="3" max="3" width="1.7109375" style="0" customWidth="1"/>
    <col min="4" max="4" width="7.7109375" style="0" customWidth="1"/>
    <col min="5" max="5" width="9.7109375" style="0" customWidth="1"/>
    <col min="6" max="30" width="5.7109375" style="0" customWidth="1"/>
    <col min="31" max="16384" width="9.140625" style="0" customWidth="1"/>
  </cols>
  <sheetData>
    <row r="1" spans="1:3" ht="18">
      <c r="A1" s="194" t="s">
        <v>465</v>
      </c>
      <c r="B1" s="194"/>
      <c r="C1" s="4"/>
    </row>
    <row r="2" spans="1:20" ht="15.75">
      <c r="A2" s="27" t="s">
        <v>0</v>
      </c>
      <c r="B2" s="27"/>
      <c r="C2" s="28"/>
      <c r="D2" s="28"/>
      <c r="E2" s="28"/>
      <c r="F2" s="28"/>
      <c r="G2" s="28"/>
      <c r="H2" s="28"/>
      <c r="I2" s="28"/>
      <c r="J2" s="28"/>
      <c r="K2" s="28"/>
      <c r="L2" s="28"/>
      <c r="M2" s="28"/>
      <c r="N2" s="28"/>
      <c r="O2" s="28"/>
      <c r="P2" s="28"/>
      <c r="Q2" s="28"/>
      <c r="R2" s="28"/>
      <c r="S2" s="28"/>
      <c r="T2" s="28"/>
    </row>
    <row r="3" ht="12.75">
      <c r="F3" s="1" t="s">
        <v>12</v>
      </c>
    </row>
    <row r="4" spans="6:26" ht="12.75">
      <c r="F4" s="85" t="s">
        <v>7</v>
      </c>
      <c r="G4" s="86"/>
      <c r="H4" s="86"/>
      <c r="I4" s="86"/>
      <c r="J4" s="86"/>
      <c r="K4" s="86"/>
      <c r="L4" s="86"/>
      <c r="M4" s="86"/>
      <c r="N4" s="86"/>
      <c r="O4" s="86"/>
      <c r="P4" s="86"/>
      <c r="Q4" s="86"/>
      <c r="R4" s="43" t="s">
        <v>13</v>
      </c>
      <c r="S4" s="6"/>
      <c r="T4" s="6"/>
      <c r="U4" s="74" t="s">
        <v>17</v>
      </c>
      <c r="V4" s="74"/>
      <c r="W4" s="78" t="s">
        <v>20</v>
      </c>
      <c r="X4" s="78"/>
      <c r="Y4" s="78"/>
      <c r="Z4" s="81" t="s">
        <v>114</v>
      </c>
    </row>
    <row r="5" spans="2:33" ht="174">
      <c r="B5" s="90" t="s">
        <v>147</v>
      </c>
      <c r="F5" s="87" t="s">
        <v>2</v>
      </c>
      <c r="G5" s="87" t="s">
        <v>1</v>
      </c>
      <c r="H5" s="87" t="s">
        <v>3</v>
      </c>
      <c r="I5" s="87" t="s">
        <v>4</v>
      </c>
      <c r="J5" s="87" t="s">
        <v>5</v>
      </c>
      <c r="K5" s="87" t="s">
        <v>6</v>
      </c>
      <c r="L5" s="88" t="s">
        <v>8</v>
      </c>
      <c r="M5" s="87" t="s">
        <v>142</v>
      </c>
      <c r="N5" s="87" t="s">
        <v>143</v>
      </c>
      <c r="O5" s="87" t="s">
        <v>9</v>
      </c>
      <c r="P5" s="87" t="s">
        <v>10</v>
      </c>
      <c r="Q5" s="87" t="s">
        <v>11</v>
      </c>
      <c r="R5" s="72" t="s">
        <v>14</v>
      </c>
      <c r="S5" s="72" t="s">
        <v>15</v>
      </c>
      <c r="T5" s="72" t="s">
        <v>16</v>
      </c>
      <c r="U5" s="75" t="s">
        <v>19</v>
      </c>
      <c r="V5" s="75" t="s">
        <v>18</v>
      </c>
      <c r="W5" s="79" t="s">
        <v>22</v>
      </c>
      <c r="X5" s="79" t="s">
        <v>21</v>
      </c>
      <c r="Y5" s="79" t="s">
        <v>23</v>
      </c>
      <c r="Z5" s="82" t="s">
        <v>26</v>
      </c>
      <c r="AA5" s="39"/>
      <c r="AB5" s="41" t="s">
        <v>28</v>
      </c>
      <c r="AC5" s="41" t="s">
        <v>29</v>
      </c>
      <c r="AD5" s="41" t="s">
        <v>30</v>
      </c>
      <c r="AE5" s="40" t="s">
        <v>64</v>
      </c>
      <c r="AF5" s="39"/>
      <c r="AG5" s="39"/>
    </row>
    <row r="6" spans="6:26" ht="12.75">
      <c r="F6" s="86"/>
      <c r="G6" s="86"/>
      <c r="H6" s="86"/>
      <c r="I6" s="86"/>
      <c r="J6" s="86"/>
      <c r="K6" s="86"/>
      <c r="L6" s="86"/>
      <c r="M6" s="86"/>
      <c r="N6" s="86"/>
      <c r="O6" s="86"/>
      <c r="P6" s="86"/>
      <c r="Q6" s="86"/>
      <c r="R6" s="6"/>
      <c r="S6" s="6"/>
      <c r="T6" s="6"/>
      <c r="U6" s="76"/>
      <c r="V6" s="76"/>
      <c r="W6" s="9"/>
      <c r="X6" s="9"/>
      <c r="Y6" s="9"/>
      <c r="Z6" s="83"/>
    </row>
    <row r="7" spans="6:26" ht="12.75">
      <c r="F7" s="86"/>
      <c r="G7" s="86"/>
      <c r="H7" s="86"/>
      <c r="I7" s="86"/>
      <c r="J7" s="86"/>
      <c r="K7" s="86"/>
      <c r="L7" s="86"/>
      <c r="M7" s="86"/>
      <c r="N7" s="86"/>
      <c r="O7" s="86"/>
      <c r="P7" s="86"/>
      <c r="Q7" s="86"/>
      <c r="R7" s="6"/>
      <c r="S7" s="6"/>
      <c r="T7" s="6"/>
      <c r="U7" s="76"/>
      <c r="V7" s="76"/>
      <c r="W7" s="9"/>
      <c r="X7" s="9"/>
      <c r="Y7" s="9"/>
      <c r="Z7" s="83"/>
    </row>
    <row r="8" spans="6:26" ht="12.75">
      <c r="F8" s="86"/>
      <c r="G8" s="86"/>
      <c r="H8" s="86"/>
      <c r="I8" s="86"/>
      <c r="J8" s="86"/>
      <c r="K8" s="86"/>
      <c r="L8" s="86"/>
      <c r="M8" s="86"/>
      <c r="N8" s="86"/>
      <c r="O8" s="86"/>
      <c r="P8" s="86"/>
      <c r="Q8" s="86"/>
      <c r="R8" s="6"/>
      <c r="S8" s="6"/>
      <c r="T8" s="6"/>
      <c r="U8" s="76"/>
      <c r="V8" s="76"/>
      <c r="W8" s="9"/>
      <c r="X8" s="9"/>
      <c r="Y8" s="9"/>
      <c r="Z8" s="83"/>
    </row>
    <row r="9" spans="2:26" ht="12.75">
      <c r="B9" s="1" t="s">
        <v>48</v>
      </c>
      <c r="D9" s="3"/>
      <c r="E9" s="3"/>
      <c r="F9" s="89"/>
      <c r="G9" s="89"/>
      <c r="H9" s="89"/>
      <c r="I9" s="89"/>
      <c r="J9" s="89"/>
      <c r="K9" s="89"/>
      <c r="L9" s="89"/>
      <c r="M9" s="89"/>
      <c r="N9" s="89"/>
      <c r="O9" s="89"/>
      <c r="P9" s="89"/>
      <c r="Q9" s="89"/>
      <c r="R9" s="73"/>
      <c r="S9" s="73"/>
      <c r="T9" s="73"/>
      <c r="U9" s="77"/>
      <c r="V9" s="77"/>
      <c r="W9" s="80"/>
      <c r="X9" s="80"/>
      <c r="Y9" s="80"/>
      <c r="Z9" s="84"/>
    </row>
    <row r="10" spans="2:26" ht="12.75">
      <c r="B10" s="2" t="s">
        <v>160</v>
      </c>
      <c r="D10" s="3"/>
      <c r="E10" s="3"/>
      <c r="F10" s="89"/>
      <c r="G10" s="89"/>
      <c r="H10" s="89"/>
      <c r="I10" s="89"/>
      <c r="J10" s="89"/>
      <c r="K10" s="89"/>
      <c r="L10" s="89"/>
      <c r="M10" s="89"/>
      <c r="N10" s="89"/>
      <c r="O10" s="89"/>
      <c r="P10" s="89"/>
      <c r="Q10" s="89"/>
      <c r="R10" s="73"/>
      <c r="S10" s="73"/>
      <c r="T10" s="73"/>
      <c r="U10" s="77"/>
      <c r="V10" s="77"/>
      <c r="W10" s="80"/>
      <c r="X10" s="80"/>
      <c r="Y10" s="80"/>
      <c r="Z10" s="84"/>
    </row>
    <row r="11" spans="2:26" ht="12.75">
      <c r="B11" t="s">
        <v>162</v>
      </c>
      <c r="D11" s="3"/>
      <c r="E11" s="3"/>
      <c r="F11" s="89"/>
      <c r="G11" s="89"/>
      <c r="H11" s="89"/>
      <c r="I11" s="89"/>
      <c r="J11" s="89"/>
      <c r="K11" s="89"/>
      <c r="L11" s="89"/>
      <c r="M11" s="89"/>
      <c r="N11" s="89"/>
      <c r="O11" s="89"/>
      <c r="P11" s="89"/>
      <c r="Q11" s="89"/>
      <c r="R11" s="73"/>
      <c r="S11" s="73"/>
      <c r="T11" s="73"/>
      <c r="U11" s="77"/>
      <c r="V11" s="77"/>
      <c r="W11" s="80"/>
      <c r="X11" s="80"/>
      <c r="Y11" s="80"/>
      <c r="Z11" s="84"/>
    </row>
    <row r="12" spans="1:26" ht="12.75">
      <c r="A12" t="s">
        <v>41</v>
      </c>
      <c r="B12" s="1" t="s">
        <v>163</v>
      </c>
      <c r="D12" s="3" t="s">
        <v>24</v>
      </c>
      <c r="E12" s="2"/>
      <c r="F12" s="89">
        <v>82</v>
      </c>
      <c r="G12" s="89">
        <v>84</v>
      </c>
      <c r="H12" s="89">
        <v>88</v>
      </c>
      <c r="I12" s="89">
        <v>89</v>
      </c>
      <c r="J12" s="89">
        <v>92</v>
      </c>
      <c r="K12" s="89">
        <v>92</v>
      </c>
      <c r="L12" s="89">
        <v>92</v>
      </c>
      <c r="M12" s="89">
        <v>95</v>
      </c>
      <c r="N12" s="89">
        <v>90</v>
      </c>
      <c r="O12" s="89">
        <v>100</v>
      </c>
      <c r="P12" s="89">
        <v>30</v>
      </c>
      <c r="Q12" s="89">
        <v>30</v>
      </c>
      <c r="R12" s="73">
        <v>88</v>
      </c>
      <c r="S12" s="73">
        <v>92</v>
      </c>
      <c r="T12" s="73"/>
      <c r="U12" s="77"/>
      <c r="V12" s="77"/>
      <c r="W12" s="80">
        <v>70</v>
      </c>
      <c r="X12" s="80">
        <v>80</v>
      </c>
      <c r="Y12" s="80"/>
      <c r="Z12" s="84"/>
    </row>
    <row r="13" spans="2:26" ht="12.75">
      <c r="B13" s="1"/>
      <c r="D13" s="3" t="s">
        <v>25</v>
      </c>
      <c r="E13" s="2"/>
      <c r="F13" s="89">
        <v>84</v>
      </c>
      <c r="G13" s="89">
        <v>86</v>
      </c>
      <c r="H13" s="89">
        <v>90</v>
      </c>
      <c r="I13" s="89">
        <v>90</v>
      </c>
      <c r="J13" s="89">
        <v>96</v>
      </c>
      <c r="K13" s="89">
        <v>97</v>
      </c>
      <c r="L13" s="89">
        <v>97</v>
      </c>
      <c r="M13" s="89">
        <v>95</v>
      </c>
      <c r="N13" s="89">
        <v>90</v>
      </c>
      <c r="O13" s="89">
        <v>100</v>
      </c>
      <c r="P13" s="89">
        <v>30</v>
      </c>
      <c r="Q13" s="89">
        <v>30</v>
      </c>
      <c r="R13" s="73">
        <v>90</v>
      </c>
      <c r="S13" s="73">
        <v>95</v>
      </c>
      <c r="T13" s="73"/>
      <c r="U13" s="77"/>
      <c r="V13" s="77"/>
      <c r="W13" s="80">
        <v>80</v>
      </c>
      <c r="X13" s="80">
        <v>85</v>
      </c>
      <c r="Y13" s="80"/>
      <c r="Z13" s="84"/>
    </row>
    <row r="14" spans="1:26" ht="12.75">
      <c r="A14" t="s">
        <v>42</v>
      </c>
      <c r="B14" s="1" t="s">
        <v>164</v>
      </c>
      <c r="D14" s="3" t="s">
        <v>24</v>
      </c>
      <c r="E14" s="2"/>
      <c r="F14" s="89">
        <v>84</v>
      </c>
      <c r="G14" s="89">
        <v>85</v>
      </c>
      <c r="H14" s="89">
        <v>89</v>
      </c>
      <c r="I14" s="89">
        <v>90</v>
      </c>
      <c r="J14" s="89">
        <v>97</v>
      </c>
      <c r="K14" s="89">
        <v>97</v>
      </c>
      <c r="L14" s="89">
        <v>97</v>
      </c>
      <c r="M14" s="89">
        <v>95</v>
      </c>
      <c r="N14" s="89">
        <v>90</v>
      </c>
      <c r="O14" s="89">
        <v>100</v>
      </c>
      <c r="P14" s="89">
        <v>30</v>
      </c>
      <c r="Q14" s="89">
        <v>30</v>
      </c>
      <c r="R14" s="73">
        <v>89</v>
      </c>
      <c r="S14" s="73">
        <v>89</v>
      </c>
      <c r="T14" s="73"/>
      <c r="U14" s="77"/>
      <c r="V14" s="77"/>
      <c r="W14" s="80">
        <v>70</v>
      </c>
      <c r="X14" s="80">
        <v>80</v>
      </c>
      <c r="Y14" s="80"/>
      <c r="Z14" s="84"/>
    </row>
    <row r="15" spans="2:26" ht="12.75">
      <c r="B15" s="2" t="s">
        <v>113</v>
      </c>
      <c r="D15" s="3" t="s">
        <v>25</v>
      </c>
      <c r="F15" s="89">
        <v>86</v>
      </c>
      <c r="G15" s="89">
        <v>89</v>
      </c>
      <c r="H15" s="89">
        <v>91</v>
      </c>
      <c r="I15" s="89">
        <v>101</v>
      </c>
      <c r="J15" s="89">
        <v>101</v>
      </c>
      <c r="K15" s="89">
        <v>102</v>
      </c>
      <c r="L15" s="89">
        <v>102</v>
      </c>
      <c r="M15" s="89">
        <v>95</v>
      </c>
      <c r="N15" s="89">
        <v>90</v>
      </c>
      <c r="O15" s="89">
        <v>100</v>
      </c>
      <c r="P15" s="89">
        <v>30</v>
      </c>
      <c r="Q15" s="89">
        <v>30</v>
      </c>
      <c r="R15" s="73">
        <v>91</v>
      </c>
      <c r="S15" s="73">
        <v>91</v>
      </c>
      <c r="T15" s="73"/>
      <c r="U15" s="77"/>
      <c r="V15" s="77"/>
      <c r="W15" s="80">
        <v>80</v>
      </c>
      <c r="X15" s="80">
        <v>85</v>
      </c>
      <c r="Y15" s="80"/>
      <c r="Z15" s="84"/>
    </row>
    <row r="16" spans="1:26" ht="12.75">
      <c r="A16" t="s">
        <v>44</v>
      </c>
      <c r="B16" s="1" t="s">
        <v>166</v>
      </c>
      <c r="D16" s="3" t="s">
        <v>24</v>
      </c>
      <c r="F16" s="89">
        <v>200</v>
      </c>
      <c r="G16" s="89">
        <v>200</v>
      </c>
      <c r="H16" s="89">
        <v>300</v>
      </c>
      <c r="I16" s="89">
        <v>300</v>
      </c>
      <c r="J16" s="89">
        <v>400</v>
      </c>
      <c r="K16" s="89">
        <v>400</v>
      </c>
      <c r="L16" s="89">
        <v>400</v>
      </c>
      <c r="M16" s="89">
        <v>50</v>
      </c>
      <c r="N16" s="89">
        <v>50</v>
      </c>
      <c r="O16" s="89">
        <v>50</v>
      </c>
      <c r="P16" s="89">
        <v>50</v>
      </c>
      <c r="Q16" s="89">
        <v>50</v>
      </c>
      <c r="R16" s="73">
        <v>400</v>
      </c>
      <c r="S16" s="73">
        <v>500</v>
      </c>
      <c r="T16" s="73"/>
      <c r="U16" s="77"/>
      <c r="V16" s="77"/>
      <c r="W16" s="80">
        <f>R16</f>
        <v>400</v>
      </c>
      <c r="X16" s="80">
        <f>S16</f>
        <v>500</v>
      </c>
      <c r="Y16" s="80"/>
      <c r="Z16" s="84"/>
    </row>
    <row r="17" spans="2:26" ht="12.75">
      <c r="B17" s="1"/>
      <c r="D17" s="3" t="s">
        <v>25</v>
      </c>
      <c r="F17" s="89">
        <v>600</v>
      </c>
      <c r="G17" s="89">
        <v>600</v>
      </c>
      <c r="H17" s="89">
        <v>800</v>
      </c>
      <c r="I17" s="89">
        <v>800</v>
      </c>
      <c r="J17" s="89">
        <v>900</v>
      </c>
      <c r="K17" s="89">
        <v>900</v>
      </c>
      <c r="L17" s="89">
        <v>900</v>
      </c>
      <c r="M17" s="89">
        <v>100</v>
      </c>
      <c r="N17" s="89">
        <v>100</v>
      </c>
      <c r="O17" s="89">
        <v>100</v>
      </c>
      <c r="P17" s="89">
        <v>100</v>
      </c>
      <c r="Q17" s="89">
        <v>100</v>
      </c>
      <c r="R17" s="73">
        <v>900</v>
      </c>
      <c r="S17" s="73">
        <v>1000</v>
      </c>
      <c r="T17" s="73"/>
      <c r="U17" s="77"/>
      <c r="V17" s="77"/>
      <c r="W17" s="80">
        <v>1200</v>
      </c>
      <c r="X17" s="80">
        <v>1300</v>
      </c>
      <c r="Y17" s="80"/>
      <c r="Z17" s="84"/>
    </row>
    <row r="18" spans="1:26" ht="12.75">
      <c r="A18" t="s">
        <v>43</v>
      </c>
      <c r="B18" s="1" t="s">
        <v>165</v>
      </c>
      <c r="D18" s="3" t="s">
        <v>24</v>
      </c>
      <c r="F18" s="89"/>
      <c r="G18" s="89"/>
      <c r="H18" s="89"/>
      <c r="I18" s="89"/>
      <c r="J18" s="89"/>
      <c r="K18" s="89"/>
      <c r="L18" s="89"/>
      <c r="M18" s="89"/>
      <c r="N18" s="89"/>
      <c r="O18" s="89"/>
      <c r="P18" s="89">
        <v>30</v>
      </c>
      <c r="Q18" s="89">
        <v>30</v>
      </c>
      <c r="R18" s="73"/>
      <c r="S18" s="73"/>
      <c r="T18" s="73"/>
      <c r="U18" s="77">
        <v>95</v>
      </c>
      <c r="V18" s="77">
        <v>95</v>
      </c>
      <c r="W18" s="80"/>
      <c r="X18" s="80"/>
      <c r="Y18" s="80"/>
      <c r="Z18" s="84"/>
    </row>
    <row r="19" spans="2:26" ht="12.75">
      <c r="B19" s="2"/>
      <c r="D19" s="3" t="s">
        <v>25</v>
      </c>
      <c r="F19" s="89"/>
      <c r="G19" s="89"/>
      <c r="H19" s="89"/>
      <c r="I19" s="89"/>
      <c r="J19" s="89"/>
      <c r="K19" s="89"/>
      <c r="L19" s="89"/>
      <c r="M19" s="89"/>
      <c r="N19" s="89"/>
      <c r="O19" s="89"/>
      <c r="P19" s="89">
        <v>30</v>
      </c>
      <c r="Q19" s="89">
        <v>30</v>
      </c>
      <c r="R19" s="73"/>
      <c r="S19" s="73"/>
      <c r="T19" s="73"/>
      <c r="U19" s="77">
        <v>97</v>
      </c>
      <c r="V19" s="77">
        <v>98</v>
      </c>
      <c r="W19" s="80"/>
      <c r="X19" s="80"/>
      <c r="Y19" s="80"/>
      <c r="Z19" s="84"/>
    </row>
    <row r="20" spans="2:26" ht="12.75">
      <c r="B20" s="1"/>
      <c r="D20" s="3"/>
      <c r="E20" s="3"/>
      <c r="F20" s="93"/>
      <c r="G20" s="93"/>
      <c r="H20" s="93"/>
      <c r="I20" s="93"/>
      <c r="J20" s="93"/>
      <c r="K20" s="93"/>
      <c r="L20" s="93"/>
      <c r="M20" s="93"/>
      <c r="N20" s="93"/>
      <c r="O20" s="93"/>
      <c r="P20" s="93"/>
      <c r="Q20" s="93"/>
      <c r="R20" s="94"/>
      <c r="S20" s="94"/>
      <c r="T20" s="94"/>
      <c r="U20" s="95"/>
      <c r="V20" s="95"/>
      <c r="W20" s="96"/>
      <c r="X20" s="96"/>
      <c r="Y20" s="96"/>
      <c r="Z20" s="97"/>
    </row>
    <row r="21" spans="2:24" ht="12.75">
      <c r="B21" t="s">
        <v>122</v>
      </c>
      <c r="F21" t="s">
        <v>123</v>
      </c>
      <c r="G21" t="s">
        <v>123</v>
      </c>
      <c r="H21" t="s">
        <v>123</v>
      </c>
      <c r="I21" t="s">
        <v>123</v>
      </c>
      <c r="J21" t="s">
        <v>123</v>
      </c>
      <c r="K21" t="s">
        <v>123</v>
      </c>
      <c r="M21" t="s">
        <v>136</v>
      </c>
      <c r="N21" t="s">
        <v>136</v>
      </c>
      <c r="P21" t="s">
        <v>265</v>
      </c>
      <c r="Q21" t="s">
        <v>265</v>
      </c>
      <c r="R21" t="s">
        <v>123</v>
      </c>
      <c r="S21" t="s">
        <v>123</v>
      </c>
      <c r="U21" t="s">
        <v>144</v>
      </c>
      <c r="V21" t="s">
        <v>144</v>
      </c>
      <c r="W21" t="s">
        <v>123</v>
      </c>
      <c r="X21" t="s">
        <v>123</v>
      </c>
    </row>
    <row r="22" ht="12.75">
      <c r="B22" s="92" t="s">
        <v>161</v>
      </c>
    </row>
    <row r="26" spans="1:29" ht="15.75">
      <c r="A26" s="27" t="s">
        <v>87</v>
      </c>
      <c r="B26" s="2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row>
    <row r="28" spans="2:33" ht="18.75">
      <c r="B28" s="35"/>
      <c r="D28" s="58" t="s">
        <v>137</v>
      </c>
      <c r="E28" s="20"/>
      <c r="F28" s="20"/>
      <c r="G28" s="20"/>
      <c r="H28" s="20"/>
      <c r="I28" s="20"/>
      <c r="J28" s="20"/>
      <c r="K28" s="20"/>
      <c r="L28" s="20"/>
      <c r="M28" s="20"/>
      <c r="N28" s="20"/>
      <c r="O28" s="20"/>
      <c r="P28" s="20"/>
      <c r="Q28" s="20"/>
      <c r="R28" s="20"/>
      <c r="S28" s="20"/>
      <c r="T28" s="20"/>
      <c r="U28" s="20"/>
      <c r="V28" s="20"/>
      <c r="W28" s="20"/>
      <c r="X28" s="20"/>
      <c r="Y28" s="21"/>
      <c r="AA28" s="35"/>
      <c r="AB28" s="58" t="s">
        <v>138</v>
      </c>
      <c r="AC28" s="20"/>
      <c r="AD28" s="20"/>
      <c r="AE28" s="20"/>
      <c r="AF28" s="20"/>
      <c r="AG28" s="21"/>
    </row>
    <row r="29" spans="2:33" ht="12.75">
      <c r="B29" s="67" t="s">
        <v>32</v>
      </c>
      <c r="D29" s="61"/>
      <c r="E29" s="61"/>
      <c r="F29" s="62" t="s">
        <v>34</v>
      </c>
      <c r="G29" s="61"/>
      <c r="H29" s="61"/>
      <c r="I29" s="59" t="s">
        <v>45</v>
      </c>
      <c r="J29" s="22"/>
      <c r="K29" s="22"/>
      <c r="L29" s="22"/>
      <c r="M29" s="22"/>
      <c r="N29" s="22"/>
      <c r="O29" s="22"/>
      <c r="P29" s="22"/>
      <c r="Q29" s="22"/>
      <c r="R29" s="22"/>
      <c r="S29" s="22"/>
      <c r="T29" s="22"/>
      <c r="U29" s="22"/>
      <c r="V29" s="22"/>
      <c r="W29" s="22"/>
      <c r="X29" s="22"/>
      <c r="Y29" s="23"/>
      <c r="AA29" s="67"/>
      <c r="AB29" s="61"/>
      <c r="AC29" s="61"/>
      <c r="AD29" s="62"/>
      <c r="AE29" s="61"/>
      <c r="AF29" s="61"/>
      <c r="AG29" s="23"/>
    </row>
    <row r="30" spans="2:33" ht="12.75">
      <c r="B30" s="68" t="s">
        <v>33</v>
      </c>
      <c r="D30" s="61"/>
      <c r="E30" s="63" t="s">
        <v>37</v>
      </c>
      <c r="F30" s="64" t="s">
        <v>35</v>
      </c>
      <c r="G30" s="61"/>
      <c r="H30" s="61"/>
      <c r="I30" s="60" t="s">
        <v>35</v>
      </c>
      <c r="J30" s="22"/>
      <c r="K30" s="22" t="s">
        <v>46</v>
      </c>
      <c r="L30" s="22"/>
      <c r="M30" s="22"/>
      <c r="N30" s="22"/>
      <c r="O30" s="22"/>
      <c r="P30" s="22"/>
      <c r="Q30" s="22"/>
      <c r="R30" s="22"/>
      <c r="S30" s="22"/>
      <c r="T30" s="22"/>
      <c r="U30" s="22"/>
      <c r="V30" s="22"/>
      <c r="W30" s="22"/>
      <c r="X30" s="22"/>
      <c r="Y30" s="23"/>
      <c r="AA30" s="68"/>
      <c r="AB30" s="61" t="s">
        <v>139</v>
      </c>
      <c r="AC30" s="63"/>
      <c r="AD30" s="64"/>
      <c r="AE30" s="61"/>
      <c r="AF30" s="61"/>
      <c r="AG30" s="23"/>
    </row>
    <row r="31" spans="2:33" ht="12.75">
      <c r="B31" s="69"/>
      <c r="D31" s="61"/>
      <c r="E31" s="63" t="s">
        <v>38</v>
      </c>
      <c r="F31" s="64" t="s">
        <v>36</v>
      </c>
      <c r="G31" s="61"/>
      <c r="H31" s="61"/>
      <c r="I31" s="60" t="s">
        <v>36</v>
      </c>
      <c r="J31" s="22"/>
      <c r="K31" s="22" t="s">
        <v>47</v>
      </c>
      <c r="L31" s="22"/>
      <c r="M31" s="22"/>
      <c r="N31" s="22"/>
      <c r="O31" s="22"/>
      <c r="P31" s="22"/>
      <c r="Q31" s="22"/>
      <c r="R31" s="22"/>
      <c r="S31" s="22"/>
      <c r="T31" s="22"/>
      <c r="U31" s="22"/>
      <c r="V31" s="22"/>
      <c r="W31" s="22"/>
      <c r="X31" s="22"/>
      <c r="Y31" s="23"/>
      <c r="AA31" s="69"/>
      <c r="AB31" s="61" t="s">
        <v>140</v>
      </c>
      <c r="AC31" s="63"/>
      <c r="AD31" s="64"/>
      <c r="AE31" s="61"/>
      <c r="AF31" s="61"/>
      <c r="AG31" s="23"/>
    </row>
    <row r="32" spans="2:33" ht="12.75">
      <c r="B32" s="69"/>
      <c r="D32" s="61"/>
      <c r="E32" s="61"/>
      <c r="F32" s="61"/>
      <c r="G32" s="61"/>
      <c r="H32" s="61"/>
      <c r="I32" s="22"/>
      <c r="J32" s="22"/>
      <c r="K32" s="22"/>
      <c r="L32" s="22"/>
      <c r="M32" s="22"/>
      <c r="N32" s="22"/>
      <c r="O32" s="22"/>
      <c r="P32" s="22"/>
      <c r="Q32" s="22"/>
      <c r="R32" s="22"/>
      <c r="S32" s="22"/>
      <c r="T32" s="22"/>
      <c r="U32" s="22"/>
      <c r="V32" s="22"/>
      <c r="W32" s="22"/>
      <c r="X32" s="22"/>
      <c r="Y32" s="23"/>
      <c r="AA32" s="69"/>
      <c r="AB32" s="61" t="s">
        <v>141</v>
      </c>
      <c r="AC32" s="61"/>
      <c r="AD32" s="61"/>
      <c r="AE32" s="61"/>
      <c r="AF32" s="61"/>
      <c r="AG32" s="23"/>
    </row>
    <row r="33" spans="2:33" ht="12.75">
      <c r="B33" s="69"/>
      <c r="D33" s="61"/>
      <c r="E33" s="61"/>
      <c r="F33" s="61"/>
      <c r="G33" s="61"/>
      <c r="H33" s="61"/>
      <c r="I33" s="59" t="s">
        <v>52</v>
      </c>
      <c r="J33" s="22"/>
      <c r="K33" s="22"/>
      <c r="L33" s="22"/>
      <c r="M33" s="22"/>
      <c r="N33" s="22"/>
      <c r="O33" s="22"/>
      <c r="P33" s="22"/>
      <c r="Q33" s="22"/>
      <c r="R33" s="22"/>
      <c r="S33" s="22"/>
      <c r="T33" s="22"/>
      <c r="U33" s="22"/>
      <c r="V33" s="22"/>
      <c r="W33" s="22"/>
      <c r="X33" s="22"/>
      <c r="Y33" s="23"/>
      <c r="AA33" s="69"/>
      <c r="AB33" s="61"/>
      <c r="AC33" s="61"/>
      <c r="AD33" s="61"/>
      <c r="AE33" s="61"/>
      <c r="AF33" s="61"/>
      <c r="AG33" s="23"/>
    </row>
    <row r="34" spans="2:33" ht="12.75">
      <c r="B34" s="67" t="s">
        <v>49</v>
      </c>
      <c r="D34" s="61"/>
      <c r="E34" s="65" t="s">
        <v>56</v>
      </c>
      <c r="F34" s="61"/>
      <c r="G34" s="61"/>
      <c r="H34" s="61"/>
      <c r="I34" s="22" t="s">
        <v>55</v>
      </c>
      <c r="J34" s="22"/>
      <c r="K34" s="22"/>
      <c r="L34" s="22"/>
      <c r="M34" s="22"/>
      <c r="N34" s="22"/>
      <c r="O34" s="22"/>
      <c r="P34" s="22"/>
      <c r="Q34" s="22"/>
      <c r="R34" s="22"/>
      <c r="S34" s="22"/>
      <c r="T34" s="22"/>
      <c r="U34" s="22"/>
      <c r="V34" s="22"/>
      <c r="W34" s="22"/>
      <c r="X34" s="22"/>
      <c r="Y34" s="23"/>
      <c r="AA34" s="67"/>
      <c r="AB34" s="61"/>
      <c r="AC34" s="65"/>
      <c r="AD34" s="61"/>
      <c r="AE34" s="61"/>
      <c r="AF34" s="61"/>
      <c r="AG34" s="23"/>
    </row>
    <row r="35" spans="2:33" ht="12.75">
      <c r="B35" s="70"/>
      <c r="D35" s="61"/>
      <c r="E35" s="61"/>
      <c r="F35" s="61" t="s">
        <v>74</v>
      </c>
      <c r="G35" s="61"/>
      <c r="H35" s="61"/>
      <c r="I35" s="22" t="s">
        <v>72</v>
      </c>
      <c r="J35" s="22">
        <v>1</v>
      </c>
      <c r="K35" s="22" t="s">
        <v>71</v>
      </c>
      <c r="L35" s="22">
        <v>0</v>
      </c>
      <c r="M35" s="22" t="s">
        <v>73</v>
      </c>
      <c r="N35" s="22"/>
      <c r="O35" s="22" t="s">
        <v>39</v>
      </c>
      <c r="P35" s="18" t="s">
        <v>75</v>
      </c>
      <c r="Q35" s="18">
        <f>L36-L35/(J36-J35)</f>
        <v>3</v>
      </c>
      <c r="R35" s="22"/>
      <c r="S35" s="22"/>
      <c r="T35" s="22"/>
      <c r="U35" s="22"/>
      <c r="V35" s="22"/>
      <c r="W35" s="22"/>
      <c r="X35" s="22"/>
      <c r="Y35" s="23"/>
      <c r="AA35" s="70"/>
      <c r="AB35" s="61"/>
      <c r="AC35" s="61"/>
      <c r="AD35" s="61"/>
      <c r="AE35" s="61"/>
      <c r="AF35" s="61"/>
      <c r="AG35" s="23"/>
    </row>
    <row r="36" spans="2:33" ht="18.75">
      <c r="B36" s="69"/>
      <c r="D36" s="61"/>
      <c r="E36" s="61"/>
      <c r="F36" s="61" t="s">
        <v>58</v>
      </c>
      <c r="G36" s="61"/>
      <c r="H36" s="61"/>
      <c r="I36" s="22" t="s">
        <v>72</v>
      </c>
      <c r="J36" s="22">
        <v>2</v>
      </c>
      <c r="K36" s="22" t="s">
        <v>71</v>
      </c>
      <c r="L36" s="22">
        <v>3</v>
      </c>
      <c r="M36" s="22" t="s">
        <v>73</v>
      </c>
      <c r="N36" s="22"/>
      <c r="O36" s="22"/>
      <c r="P36" s="18" t="s">
        <v>76</v>
      </c>
      <c r="Q36" s="18">
        <f>L36-J36*Q35</f>
        <v>-3</v>
      </c>
      <c r="R36" s="22"/>
      <c r="S36" s="22"/>
      <c r="T36" s="22"/>
      <c r="U36" s="22"/>
      <c r="V36" s="22"/>
      <c r="W36" s="22"/>
      <c r="X36" s="22"/>
      <c r="Y36" s="23"/>
      <c r="AA36" s="69"/>
      <c r="AB36" s="58" t="s">
        <v>145</v>
      </c>
      <c r="AC36" s="20"/>
      <c r="AD36" s="20"/>
      <c r="AE36" s="20"/>
      <c r="AF36" s="20"/>
      <c r="AG36" s="21"/>
    </row>
    <row r="37" spans="2:33" ht="12.75">
      <c r="B37" s="69"/>
      <c r="D37" s="61"/>
      <c r="E37" s="61"/>
      <c r="F37" s="61" t="s">
        <v>59</v>
      </c>
      <c r="G37" s="61"/>
      <c r="H37" s="61"/>
      <c r="I37" s="22"/>
      <c r="J37" s="22"/>
      <c r="K37" s="22"/>
      <c r="L37" s="22"/>
      <c r="M37" s="22"/>
      <c r="N37" s="22"/>
      <c r="O37" s="22"/>
      <c r="P37" s="22"/>
      <c r="Q37" s="22"/>
      <c r="R37" s="22"/>
      <c r="S37" s="22"/>
      <c r="T37" s="22"/>
      <c r="U37" s="22"/>
      <c r="V37" s="22"/>
      <c r="W37" s="22"/>
      <c r="X37" s="22"/>
      <c r="Y37" s="23"/>
      <c r="AA37" s="69"/>
      <c r="AB37" s="61"/>
      <c r="AC37" s="61"/>
      <c r="AD37" s="62"/>
      <c r="AE37" s="61"/>
      <c r="AF37" s="61"/>
      <c r="AG37" s="23"/>
    </row>
    <row r="38" spans="2:33" ht="12.75">
      <c r="B38" s="69"/>
      <c r="D38" s="61"/>
      <c r="E38" s="65" t="s">
        <v>60</v>
      </c>
      <c r="F38" s="61"/>
      <c r="G38" s="61"/>
      <c r="H38" s="61"/>
      <c r="I38" s="22" t="s">
        <v>54</v>
      </c>
      <c r="J38" s="22"/>
      <c r="K38" s="22"/>
      <c r="L38" s="22"/>
      <c r="M38" s="22"/>
      <c r="N38" s="22"/>
      <c r="O38" s="22"/>
      <c r="P38" s="22"/>
      <c r="Q38" s="22"/>
      <c r="R38" s="22"/>
      <c r="S38" s="22"/>
      <c r="T38" s="22"/>
      <c r="U38" s="22"/>
      <c r="V38" s="22"/>
      <c r="W38" s="22"/>
      <c r="X38" s="22"/>
      <c r="Y38" s="23"/>
      <c r="AA38" s="69"/>
      <c r="AB38" s="61" t="s">
        <v>139</v>
      </c>
      <c r="AC38" s="63"/>
      <c r="AD38" s="64"/>
      <c r="AE38" s="61"/>
      <c r="AF38" s="61"/>
      <c r="AG38" s="23"/>
    </row>
    <row r="39" spans="2:33" ht="12.75">
      <c r="B39" s="69"/>
      <c r="D39" s="61"/>
      <c r="E39" s="61"/>
      <c r="F39" s="61" t="s">
        <v>81</v>
      </c>
      <c r="G39" s="61"/>
      <c r="H39" s="61"/>
      <c r="I39" s="22" t="s">
        <v>61</v>
      </c>
      <c r="J39" s="22"/>
      <c r="K39" s="22"/>
      <c r="L39" s="22"/>
      <c r="M39" s="22"/>
      <c r="N39" s="22"/>
      <c r="O39" s="22"/>
      <c r="P39" s="22"/>
      <c r="Q39" s="22"/>
      <c r="R39" s="22"/>
      <c r="S39" s="22"/>
      <c r="T39" s="22"/>
      <c r="U39" s="22"/>
      <c r="V39" s="22"/>
      <c r="W39" s="22"/>
      <c r="X39" s="22"/>
      <c r="Y39" s="23"/>
      <c r="AA39" s="69"/>
      <c r="AB39" s="61" t="s">
        <v>140</v>
      </c>
      <c r="AC39" s="63"/>
      <c r="AD39" s="64"/>
      <c r="AE39" s="61"/>
      <c r="AF39" s="61"/>
      <c r="AG39" s="23"/>
    </row>
    <row r="40" spans="2:33" ht="12.75">
      <c r="B40" s="69"/>
      <c r="D40" s="61"/>
      <c r="E40" s="61"/>
      <c r="F40" s="61" t="s">
        <v>63</v>
      </c>
      <c r="G40" s="61"/>
      <c r="H40" s="61"/>
      <c r="I40" s="22" t="s">
        <v>62</v>
      </c>
      <c r="J40" s="22"/>
      <c r="K40" s="22"/>
      <c r="L40" s="22"/>
      <c r="M40" s="22"/>
      <c r="N40" s="22"/>
      <c r="O40" s="22"/>
      <c r="P40" s="22"/>
      <c r="Q40" s="22"/>
      <c r="R40" s="22"/>
      <c r="S40" s="22"/>
      <c r="T40" s="22"/>
      <c r="U40" s="22"/>
      <c r="V40" s="22"/>
      <c r="W40" s="22"/>
      <c r="X40" s="22"/>
      <c r="Y40" s="23"/>
      <c r="AA40" s="69"/>
      <c r="AB40" s="61" t="s">
        <v>141</v>
      </c>
      <c r="AC40" s="61"/>
      <c r="AD40" s="61"/>
      <c r="AE40" s="61"/>
      <c r="AF40" s="61"/>
      <c r="AG40" s="23"/>
    </row>
    <row r="41" spans="2:33" ht="12.75">
      <c r="B41" s="69"/>
      <c r="D41" s="61"/>
      <c r="E41" s="66" t="s">
        <v>50</v>
      </c>
      <c r="F41" s="61" t="s">
        <v>53</v>
      </c>
      <c r="G41" s="61"/>
      <c r="H41" s="61"/>
      <c r="I41" s="22" t="s">
        <v>79</v>
      </c>
      <c r="J41" s="22"/>
      <c r="K41" s="22">
        <v>3</v>
      </c>
      <c r="L41" s="22" t="s">
        <v>51</v>
      </c>
      <c r="M41" s="44">
        <f>2/3</f>
        <v>0.6666666666666666</v>
      </c>
      <c r="N41" s="44"/>
      <c r="O41" s="22" t="s">
        <v>39</v>
      </c>
      <c r="P41" s="18" t="s">
        <v>77</v>
      </c>
      <c r="Q41" s="18">
        <f>(M42-M41)/(K42-K41)</f>
        <v>0.2222222222222222</v>
      </c>
      <c r="R41" s="22"/>
      <c r="S41" s="22"/>
      <c r="T41" s="22"/>
      <c r="U41" s="22"/>
      <c r="V41" s="22"/>
      <c r="W41" s="22"/>
      <c r="X41" s="22"/>
      <c r="Y41" s="23"/>
      <c r="AA41" s="69"/>
      <c r="AB41" s="61"/>
      <c r="AC41" s="66"/>
      <c r="AD41" s="61"/>
      <c r="AE41" s="61"/>
      <c r="AF41" s="61"/>
      <c r="AG41" s="23"/>
    </row>
    <row r="42" spans="2:33" ht="12.75">
      <c r="B42" s="36"/>
      <c r="D42" s="37"/>
      <c r="E42" s="37"/>
      <c r="F42" s="37"/>
      <c r="G42" s="37"/>
      <c r="H42" s="37"/>
      <c r="I42" s="24" t="s">
        <v>80</v>
      </c>
      <c r="J42" s="24"/>
      <c r="K42" s="24">
        <v>1.5</v>
      </c>
      <c r="L42" s="24" t="s">
        <v>51</v>
      </c>
      <c r="M42" s="45">
        <f>1/3</f>
        <v>0.3333333333333333</v>
      </c>
      <c r="N42" s="45"/>
      <c r="O42" s="24"/>
      <c r="P42" s="19" t="s">
        <v>78</v>
      </c>
      <c r="Q42" s="19">
        <f>M42-K42*Q41</f>
        <v>0</v>
      </c>
      <c r="R42" s="24"/>
      <c r="S42" s="24"/>
      <c r="T42" s="24"/>
      <c r="U42" s="24"/>
      <c r="V42" s="24"/>
      <c r="W42" s="24"/>
      <c r="X42" s="24"/>
      <c r="Y42" s="25"/>
      <c r="AA42" s="36"/>
      <c r="AB42" s="37"/>
      <c r="AC42" s="37"/>
      <c r="AD42" s="37"/>
      <c r="AE42" s="37"/>
      <c r="AF42" s="37"/>
      <c r="AG42" s="25"/>
    </row>
    <row r="44" ht="12.75">
      <c r="H44" s="29" t="s">
        <v>98</v>
      </c>
    </row>
    <row r="45" spans="5:8" ht="12.75">
      <c r="E45" s="2"/>
      <c r="H45" s="30" t="s">
        <v>99</v>
      </c>
    </row>
    <row r="46" spans="5:33" ht="18.75">
      <c r="E46" s="2"/>
      <c r="H46" s="29" t="s">
        <v>100</v>
      </c>
      <c r="AA46" s="35"/>
      <c r="AB46" s="58" t="s">
        <v>255</v>
      </c>
      <c r="AC46" s="20"/>
      <c r="AD46" s="20"/>
      <c r="AE46" s="20"/>
      <c r="AF46" s="20"/>
      <c r="AG46" s="21"/>
    </row>
    <row r="47" spans="5:33" ht="12.75">
      <c r="E47" s="2"/>
      <c r="I47" s="30"/>
      <c r="AA47" s="69"/>
      <c r="AB47" s="61"/>
      <c r="AC47" s="61"/>
      <c r="AD47" s="62"/>
      <c r="AE47" s="61"/>
      <c r="AF47" s="61"/>
      <c r="AG47" s="23"/>
    </row>
    <row r="48" spans="1:33" ht="12.75">
      <c r="A48" s="1" t="s">
        <v>65</v>
      </c>
      <c r="B48" s="1"/>
      <c r="AA48" s="69"/>
      <c r="AB48" s="61" t="s">
        <v>256</v>
      </c>
      <c r="AC48" s="63"/>
      <c r="AD48" s="64"/>
      <c r="AE48" s="61"/>
      <c r="AF48" s="61"/>
      <c r="AG48" s="23"/>
    </row>
    <row r="49" spans="1:33" ht="12.75">
      <c r="A49" s="12" t="s">
        <v>90</v>
      </c>
      <c r="B49" s="12"/>
      <c r="C49" s="9"/>
      <c r="D49" s="9" t="s">
        <v>41</v>
      </c>
      <c r="E49" s="10" t="s">
        <v>57</v>
      </c>
      <c r="F49" s="46"/>
      <c r="G49" s="46"/>
      <c r="H49" s="46"/>
      <c r="I49" s="46"/>
      <c r="J49" s="46"/>
      <c r="K49" s="46"/>
      <c r="R49" s="46"/>
      <c r="S49" s="46"/>
      <c r="W49" s="46"/>
      <c r="X49" s="46"/>
      <c r="AA49" s="69"/>
      <c r="AB49" s="61" t="s">
        <v>257</v>
      </c>
      <c r="AC49" s="63"/>
      <c r="AD49" s="64"/>
      <c r="AE49" s="61"/>
      <c r="AF49" s="61"/>
      <c r="AG49" s="23"/>
    </row>
    <row r="50" spans="1:33" ht="12.75">
      <c r="A50" s="9"/>
      <c r="B50" s="9"/>
      <c r="C50" s="9"/>
      <c r="D50" s="9"/>
      <c r="E50" s="11" t="s">
        <v>24</v>
      </c>
      <c r="F50" s="47">
        <f aca="true" t="shared" si="0" ref="F50:K51">F12</f>
        <v>82</v>
      </c>
      <c r="G50" s="47">
        <f t="shared" si="0"/>
        <v>84</v>
      </c>
      <c r="H50" s="47">
        <f t="shared" si="0"/>
        <v>88</v>
      </c>
      <c r="I50" s="47">
        <f t="shared" si="0"/>
        <v>89</v>
      </c>
      <c r="J50" s="47">
        <f t="shared" si="0"/>
        <v>92</v>
      </c>
      <c r="K50" s="47">
        <f t="shared" si="0"/>
        <v>92</v>
      </c>
      <c r="R50" s="47">
        <f>R12</f>
        <v>88</v>
      </c>
      <c r="S50" s="47">
        <f>S12</f>
        <v>92</v>
      </c>
      <c r="W50" s="47">
        <f>W12</f>
        <v>70</v>
      </c>
      <c r="X50" s="47">
        <f>X12</f>
        <v>80</v>
      </c>
      <c r="AA50" s="69"/>
      <c r="AB50" s="61" t="s">
        <v>258</v>
      </c>
      <c r="AC50" s="61"/>
      <c r="AD50" s="61"/>
      <c r="AE50" s="61"/>
      <c r="AF50" s="61"/>
      <c r="AG50" s="23"/>
    </row>
    <row r="51" spans="1:33" ht="12.75">
      <c r="A51" s="9"/>
      <c r="B51" s="9"/>
      <c r="C51" s="9"/>
      <c r="D51" s="9"/>
      <c r="E51" s="11" t="s">
        <v>25</v>
      </c>
      <c r="F51" s="47">
        <f t="shared" si="0"/>
        <v>84</v>
      </c>
      <c r="G51" s="47">
        <f t="shared" si="0"/>
        <v>86</v>
      </c>
      <c r="H51" s="47">
        <f t="shared" si="0"/>
        <v>90</v>
      </c>
      <c r="I51" s="47">
        <f t="shared" si="0"/>
        <v>90</v>
      </c>
      <c r="J51" s="47">
        <f t="shared" si="0"/>
        <v>96</v>
      </c>
      <c r="K51" s="47">
        <f t="shared" si="0"/>
        <v>97</v>
      </c>
      <c r="R51" s="47">
        <f>R13</f>
        <v>90</v>
      </c>
      <c r="S51" s="47">
        <f>S13</f>
        <v>95</v>
      </c>
      <c r="W51" s="47">
        <f>W13</f>
        <v>80</v>
      </c>
      <c r="X51" s="47">
        <f>X13</f>
        <v>85</v>
      </c>
      <c r="AA51" s="69"/>
      <c r="AB51" s="61" t="s">
        <v>259</v>
      </c>
      <c r="AC51" s="66"/>
      <c r="AD51" s="61"/>
      <c r="AE51" s="61"/>
      <c r="AF51" s="61"/>
      <c r="AG51" s="23"/>
    </row>
    <row r="52" spans="1:33" ht="12.75">
      <c r="A52" s="9"/>
      <c r="B52" s="9"/>
      <c r="C52" s="9"/>
      <c r="D52" s="9" t="s">
        <v>42</v>
      </c>
      <c r="E52" s="10" t="s">
        <v>27</v>
      </c>
      <c r="F52" s="46"/>
      <c r="G52" s="46"/>
      <c r="H52" s="46"/>
      <c r="I52" s="46"/>
      <c r="J52" s="46"/>
      <c r="K52" s="46"/>
      <c r="R52" s="46"/>
      <c r="S52" s="46"/>
      <c r="W52" s="46"/>
      <c r="X52" s="46"/>
      <c r="AA52" s="69"/>
      <c r="AB52" s="61" t="s">
        <v>260</v>
      </c>
      <c r="AC52" s="66"/>
      <c r="AD52" s="61"/>
      <c r="AE52" s="61"/>
      <c r="AF52" s="61"/>
      <c r="AG52" s="23"/>
    </row>
    <row r="53" spans="1:33" ht="12.75">
      <c r="A53" s="9"/>
      <c r="B53" s="9"/>
      <c r="C53" s="9"/>
      <c r="D53" s="9"/>
      <c r="E53" s="11" t="s">
        <v>24</v>
      </c>
      <c r="F53" s="47">
        <f aca="true" t="shared" si="1" ref="F53:K54">F14</f>
        <v>84</v>
      </c>
      <c r="G53" s="47">
        <f t="shared" si="1"/>
        <v>85</v>
      </c>
      <c r="H53" s="47">
        <f t="shared" si="1"/>
        <v>89</v>
      </c>
      <c r="I53" s="47">
        <f t="shared" si="1"/>
        <v>90</v>
      </c>
      <c r="J53" s="47">
        <f t="shared" si="1"/>
        <v>97</v>
      </c>
      <c r="K53" s="47">
        <f t="shared" si="1"/>
        <v>97</v>
      </c>
      <c r="R53" s="47">
        <f aca="true" t="shared" si="2" ref="R53:S56">R14</f>
        <v>89</v>
      </c>
      <c r="S53" s="47">
        <f t="shared" si="2"/>
        <v>89</v>
      </c>
      <c r="W53" s="47">
        <f aca="true" t="shared" si="3" ref="W53:X56">W14</f>
        <v>70</v>
      </c>
      <c r="X53" s="47">
        <f t="shared" si="3"/>
        <v>80</v>
      </c>
      <c r="AA53" s="69"/>
      <c r="AB53" s="61" t="s">
        <v>261</v>
      </c>
      <c r="AC53" s="66"/>
      <c r="AD53" s="61"/>
      <c r="AE53" s="61"/>
      <c r="AF53" s="61"/>
      <c r="AG53" s="23"/>
    </row>
    <row r="54" spans="1:33" ht="12.75">
      <c r="A54" s="9"/>
      <c r="B54" s="9"/>
      <c r="C54" s="9"/>
      <c r="D54" s="9"/>
      <c r="E54" s="11" t="s">
        <v>25</v>
      </c>
      <c r="F54" s="47">
        <f t="shared" si="1"/>
        <v>86</v>
      </c>
      <c r="G54" s="47">
        <f t="shared" si="1"/>
        <v>89</v>
      </c>
      <c r="H54" s="47">
        <f t="shared" si="1"/>
        <v>91</v>
      </c>
      <c r="I54" s="47">
        <f t="shared" si="1"/>
        <v>101</v>
      </c>
      <c r="J54" s="47">
        <f t="shared" si="1"/>
        <v>101</v>
      </c>
      <c r="K54" s="47">
        <f t="shared" si="1"/>
        <v>102</v>
      </c>
      <c r="R54" s="47">
        <f t="shared" si="2"/>
        <v>91</v>
      </c>
      <c r="S54" s="47">
        <f t="shared" si="2"/>
        <v>91</v>
      </c>
      <c r="W54" s="47">
        <f t="shared" si="3"/>
        <v>80</v>
      </c>
      <c r="X54" s="47">
        <f t="shared" si="3"/>
        <v>85</v>
      </c>
      <c r="AA54" s="69"/>
      <c r="AB54" s="61"/>
      <c r="AC54" s="66"/>
      <c r="AD54" s="61"/>
      <c r="AE54" s="61"/>
      <c r="AF54" s="61"/>
      <c r="AG54" s="23"/>
    </row>
    <row r="55" spans="1:33" ht="12.75">
      <c r="A55" s="9"/>
      <c r="B55" s="9"/>
      <c r="C55" s="9"/>
      <c r="D55" s="9" t="str">
        <f>B16</f>
        <v>El. consumption range  (kWh)</v>
      </c>
      <c r="E55" s="11" t="str">
        <f>D16</f>
        <v>min</v>
      </c>
      <c r="F55" s="47">
        <f aca="true" t="shared" si="4" ref="F55:K56">F16</f>
        <v>200</v>
      </c>
      <c r="G55" s="47">
        <f t="shared" si="4"/>
        <v>200</v>
      </c>
      <c r="H55" s="47">
        <f t="shared" si="4"/>
        <v>300</v>
      </c>
      <c r="I55" s="47">
        <f t="shared" si="4"/>
        <v>300</v>
      </c>
      <c r="J55" s="47">
        <f t="shared" si="4"/>
        <v>400</v>
      </c>
      <c r="K55" s="47">
        <f t="shared" si="4"/>
        <v>400</v>
      </c>
      <c r="M55" s="47">
        <f>M16</f>
        <v>50</v>
      </c>
      <c r="N55" s="47">
        <f>N16</f>
        <v>50</v>
      </c>
      <c r="R55" s="47">
        <f t="shared" si="2"/>
        <v>400</v>
      </c>
      <c r="S55" s="47">
        <f t="shared" si="2"/>
        <v>500</v>
      </c>
      <c r="W55" s="47">
        <f t="shared" si="3"/>
        <v>400</v>
      </c>
      <c r="X55" s="47">
        <f t="shared" si="3"/>
        <v>500</v>
      </c>
      <c r="AA55" s="36"/>
      <c r="AB55" s="37"/>
      <c r="AC55" s="37"/>
      <c r="AD55" s="37"/>
      <c r="AE55" s="37"/>
      <c r="AF55" s="37"/>
      <c r="AG55" s="25"/>
    </row>
    <row r="56" spans="1:24" ht="12.75">
      <c r="A56" s="9"/>
      <c r="B56" s="9"/>
      <c r="C56" s="9"/>
      <c r="D56" s="9"/>
      <c r="E56" s="11" t="str">
        <f>D17</f>
        <v>max</v>
      </c>
      <c r="F56" s="47">
        <f t="shared" si="4"/>
        <v>600</v>
      </c>
      <c r="G56" s="47">
        <f t="shared" si="4"/>
        <v>600</v>
      </c>
      <c r="H56" s="47">
        <f t="shared" si="4"/>
        <v>800</v>
      </c>
      <c r="I56" s="47">
        <f t="shared" si="4"/>
        <v>800</v>
      </c>
      <c r="J56" s="47">
        <f t="shared" si="4"/>
        <v>900</v>
      </c>
      <c r="K56" s="47">
        <f t="shared" si="4"/>
        <v>900</v>
      </c>
      <c r="M56" s="47">
        <f>M17</f>
        <v>100</v>
      </c>
      <c r="N56" s="47">
        <f>N17</f>
        <v>100</v>
      </c>
      <c r="R56" s="47">
        <f t="shared" si="2"/>
        <v>900</v>
      </c>
      <c r="S56" s="47">
        <f t="shared" si="2"/>
        <v>1000</v>
      </c>
      <c r="W56" s="47">
        <f t="shared" si="3"/>
        <v>1200</v>
      </c>
      <c r="X56" s="47">
        <f t="shared" si="3"/>
        <v>1300</v>
      </c>
    </row>
    <row r="57" spans="1:24" ht="13.5" thickBot="1">
      <c r="A57" s="8" t="s">
        <v>88</v>
      </c>
      <c r="B57" s="8"/>
      <c r="C57" s="8"/>
      <c r="D57" s="8"/>
      <c r="E57" s="8"/>
      <c r="F57" s="8"/>
      <c r="G57" s="48"/>
      <c r="H57" s="48"/>
      <c r="I57" s="48"/>
      <c r="J57" s="48"/>
      <c r="K57" s="48"/>
      <c r="R57" s="48"/>
      <c r="S57" s="48"/>
      <c r="W57" s="48"/>
      <c r="X57" s="48"/>
    </row>
    <row r="58" spans="1:24" ht="12.75">
      <c r="A58" s="8"/>
      <c r="B58" s="26" t="str">
        <f>F30</f>
        <v>Rad. Sizing</v>
      </c>
      <c r="C58" s="6" t="s">
        <v>89</v>
      </c>
      <c r="D58" s="7"/>
      <c r="E58" s="7" t="s">
        <v>37</v>
      </c>
      <c r="F58" s="163">
        <v>2</v>
      </c>
      <c r="G58" s="164" t="s">
        <v>420</v>
      </c>
      <c r="H58" s="165"/>
      <c r="I58" s="48"/>
      <c r="J58" s="48"/>
      <c r="K58" s="48"/>
      <c r="R58" s="48"/>
      <c r="S58" s="48"/>
      <c r="W58" s="48"/>
      <c r="X58" s="48"/>
    </row>
    <row r="59" spans="1:24" ht="13.5" thickBot="1">
      <c r="A59" s="6"/>
      <c r="B59" s="26" t="str">
        <f>F31</f>
        <v>Boiler Sizing</v>
      </c>
      <c r="C59" s="6" t="s">
        <v>89</v>
      </c>
      <c r="D59" s="7"/>
      <c r="E59" s="7" t="s">
        <v>38</v>
      </c>
      <c r="F59" s="163">
        <v>3</v>
      </c>
      <c r="G59" s="166"/>
      <c r="H59" s="167"/>
      <c r="I59" s="48"/>
      <c r="J59" s="48"/>
      <c r="K59" s="48"/>
      <c r="R59" s="48"/>
      <c r="S59" s="48"/>
      <c r="W59" s="48"/>
      <c r="X59" s="48"/>
    </row>
    <row r="60" spans="1:24" ht="12.75">
      <c r="A60" s="6"/>
      <c r="B60" s="26" t="s">
        <v>103</v>
      </c>
      <c r="C60" s="6" t="s">
        <v>89</v>
      </c>
      <c r="D60" s="6"/>
      <c r="E60" s="6" t="s">
        <v>101</v>
      </c>
      <c r="F60" s="49">
        <f>+'END USERS, COST &amp; EMISSIONS'!B5</f>
        <v>20000</v>
      </c>
      <c r="G60" s="48"/>
      <c r="H60" s="48"/>
      <c r="I60" s="48"/>
      <c r="J60" s="48"/>
      <c r="K60" s="48"/>
      <c r="R60" s="48"/>
      <c r="S60" s="48"/>
      <c r="W60" s="48"/>
      <c r="X60" s="48"/>
    </row>
    <row r="61" spans="4:24" ht="12.75">
      <c r="D61" s="2"/>
      <c r="F61" s="48"/>
      <c r="G61" s="48"/>
      <c r="H61" s="48"/>
      <c r="I61" s="48"/>
      <c r="J61" s="48"/>
      <c r="K61" s="48"/>
      <c r="R61" s="48"/>
      <c r="S61" s="48"/>
      <c r="W61" s="48"/>
      <c r="X61" s="48"/>
    </row>
    <row r="62" spans="4:24" ht="12.75">
      <c r="D62" s="1" t="s">
        <v>66</v>
      </c>
      <c r="F62" s="48"/>
      <c r="G62" s="48"/>
      <c r="H62" s="48"/>
      <c r="I62" s="48"/>
      <c r="J62" s="48"/>
      <c r="K62" s="48"/>
      <c r="R62" s="48"/>
      <c r="S62" s="48"/>
      <c r="W62" s="48"/>
      <c r="X62" s="48"/>
    </row>
    <row r="63" spans="1:24" ht="12.75">
      <c r="A63" s="16" t="s">
        <v>91</v>
      </c>
      <c r="B63" s="16"/>
      <c r="C63" s="13"/>
      <c r="D63" s="14" t="s">
        <v>70</v>
      </c>
      <c r="E63" s="15" t="s">
        <v>67</v>
      </c>
      <c r="F63" s="50">
        <f aca="true" t="shared" si="5" ref="F63:K63">(F50+F51)/2</f>
        <v>83</v>
      </c>
      <c r="G63" s="50">
        <f t="shared" si="5"/>
        <v>85</v>
      </c>
      <c r="H63" s="50">
        <f t="shared" si="5"/>
        <v>89</v>
      </c>
      <c r="I63" s="50">
        <f t="shared" si="5"/>
        <v>89.5</v>
      </c>
      <c r="J63" s="50">
        <f t="shared" si="5"/>
        <v>94</v>
      </c>
      <c r="K63" s="50">
        <f t="shared" si="5"/>
        <v>94.5</v>
      </c>
      <c r="R63" s="50">
        <f>(R50+R51)/2</f>
        <v>89</v>
      </c>
      <c r="S63" s="50">
        <f>(S50+S51)/2</f>
        <v>93.5</v>
      </c>
      <c r="W63" s="50">
        <f>(W50+W51)/2</f>
        <v>75</v>
      </c>
      <c r="X63" s="50">
        <f>(X50+X51)/2</f>
        <v>82.5</v>
      </c>
    </row>
    <row r="64" spans="1:24" ht="12.75">
      <c r="A64" s="13"/>
      <c r="B64" s="13"/>
      <c r="C64" s="13"/>
      <c r="D64" s="13"/>
      <c r="E64" s="15" t="s">
        <v>68</v>
      </c>
      <c r="F64" s="50">
        <f aca="true" t="shared" si="6" ref="F64:K64">(F53+F54)/2</f>
        <v>85</v>
      </c>
      <c r="G64" s="50">
        <f t="shared" si="6"/>
        <v>87</v>
      </c>
      <c r="H64" s="50">
        <f t="shared" si="6"/>
        <v>90</v>
      </c>
      <c r="I64" s="50">
        <f t="shared" si="6"/>
        <v>95.5</v>
      </c>
      <c r="J64" s="50">
        <f t="shared" si="6"/>
        <v>99</v>
      </c>
      <c r="K64" s="50">
        <f t="shared" si="6"/>
        <v>99.5</v>
      </c>
      <c r="R64" s="50">
        <f>(R53+R54)/2</f>
        <v>90</v>
      </c>
      <c r="S64" s="50">
        <f>(S53+S54)/2</f>
        <v>90</v>
      </c>
      <c r="W64" s="50">
        <f>(W53+W54)/2</f>
        <v>75</v>
      </c>
      <c r="X64" s="50">
        <f>(X53+X54)/2</f>
        <v>82.5</v>
      </c>
    </row>
    <row r="65" spans="1:24" ht="12.75">
      <c r="A65" s="13"/>
      <c r="B65" s="13"/>
      <c r="C65" s="13"/>
      <c r="D65" s="13" t="s">
        <v>69</v>
      </c>
      <c r="E65" s="15" t="s">
        <v>82</v>
      </c>
      <c r="F65" s="51">
        <f aca="true" t="shared" si="7" ref="F65:K65">$Q$35*$F$58+$Q$36</f>
        <v>3</v>
      </c>
      <c r="G65" s="51">
        <f t="shared" si="7"/>
        <v>3</v>
      </c>
      <c r="H65" s="51">
        <f t="shared" si="7"/>
        <v>3</v>
      </c>
      <c r="I65" s="51">
        <f t="shared" si="7"/>
        <v>3</v>
      </c>
      <c r="J65" s="51">
        <f t="shared" si="7"/>
        <v>3</v>
      </c>
      <c r="K65" s="51">
        <f t="shared" si="7"/>
        <v>3</v>
      </c>
      <c r="R65" s="51">
        <f>$Q$35*$F$58+$Q$36</f>
        <v>3</v>
      </c>
      <c r="S65" s="51">
        <f>$Q$35*$F$58+$Q$36</f>
        <v>3</v>
      </c>
      <c r="W65" s="51">
        <f>$Q$35*$F$58+$Q$36</f>
        <v>3</v>
      </c>
      <c r="X65" s="51">
        <f>$Q$35*$F$58+$Q$36</f>
        <v>3</v>
      </c>
    </row>
    <row r="66" spans="1:24" ht="12.75">
      <c r="A66" s="13"/>
      <c r="B66" s="13"/>
      <c r="C66" s="13"/>
      <c r="D66" s="13"/>
      <c r="E66" s="13" t="s">
        <v>83</v>
      </c>
      <c r="F66" s="50">
        <f aca="true" t="shared" si="8" ref="F66:K66">F63+F65</f>
        <v>86</v>
      </c>
      <c r="G66" s="50">
        <f t="shared" si="8"/>
        <v>88</v>
      </c>
      <c r="H66" s="50">
        <f t="shared" si="8"/>
        <v>92</v>
      </c>
      <c r="I66" s="50">
        <f t="shared" si="8"/>
        <v>92.5</v>
      </c>
      <c r="J66" s="50">
        <f t="shared" si="8"/>
        <v>97</v>
      </c>
      <c r="K66" s="50">
        <f t="shared" si="8"/>
        <v>97.5</v>
      </c>
      <c r="R66" s="50">
        <f>R63+R65</f>
        <v>92</v>
      </c>
      <c r="S66" s="50">
        <f>S63+S65</f>
        <v>96.5</v>
      </c>
      <c r="W66" s="50">
        <f>W63+W65</f>
        <v>78</v>
      </c>
      <c r="X66" s="50">
        <f>X63+X65</f>
        <v>85.5</v>
      </c>
    </row>
    <row r="67" spans="1:24" ht="12.75">
      <c r="A67" s="13"/>
      <c r="B67" s="13"/>
      <c r="C67" s="13"/>
      <c r="D67" s="13"/>
      <c r="E67" s="13" t="s">
        <v>84</v>
      </c>
      <c r="F67" s="50">
        <f aca="true" t="shared" si="9" ref="F67:K67">F64+F65</f>
        <v>88</v>
      </c>
      <c r="G67" s="50">
        <f t="shared" si="9"/>
        <v>90</v>
      </c>
      <c r="H67" s="50">
        <f t="shared" si="9"/>
        <v>93</v>
      </c>
      <c r="I67" s="50">
        <f t="shared" si="9"/>
        <v>98.5</v>
      </c>
      <c r="J67" s="50">
        <f t="shared" si="9"/>
        <v>102</v>
      </c>
      <c r="K67" s="50">
        <f t="shared" si="9"/>
        <v>102.5</v>
      </c>
      <c r="R67" s="50">
        <f>R64+R65</f>
        <v>93</v>
      </c>
      <c r="S67" s="50">
        <f>S64+S65</f>
        <v>93</v>
      </c>
      <c r="W67" s="50">
        <f>W64+W65</f>
        <v>78</v>
      </c>
      <c r="X67" s="50">
        <f>X64+X65</f>
        <v>85.5</v>
      </c>
    </row>
    <row r="68" spans="1:24" ht="12.75">
      <c r="A68" s="13"/>
      <c r="B68" s="13"/>
      <c r="C68" s="13"/>
      <c r="D68" s="13"/>
      <c r="E68" s="15" t="s">
        <v>51</v>
      </c>
      <c r="F68" s="52">
        <f aca="true" t="shared" si="10" ref="F68:K68">$Q$41*$F$59+$Q$42</f>
        <v>0.6666666666666666</v>
      </c>
      <c r="G68" s="52">
        <f t="shared" si="10"/>
        <v>0.6666666666666666</v>
      </c>
      <c r="H68" s="52">
        <f t="shared" si="10"/>
        <v>0.6666666666666666</v>
      </c>
      <c r="I68" s="52">
        <f t="shared" si="10"/>
        <v>0.6666666666666666</v>
      </c>
      <c r="J68" s="52">
        <f t="shared" si="10"/>
        <v>0.6666666666666666</v>
      </c>
      <c r="K68" s="52">
        <f t="shared" si="10"/>
        <v>0.6666666666666666</v>
      </c>
      <c r="R68" s="52">
        <f>$Q$41*$F$59+$Q$42</f>
        <v>0.6666666666666666</v>
      </c>
      <c r="S68" s="52">
        <f>$Q$41*$F$59+$Q$42</f>
        <v>0.6666666666666666</v>
      </c>
      <c r="W68" s="52">
        <f>$Q$41*$F$59+$Q$42</f>
        <v>0.6666666666666666</v>
      </c>
      <c r="X68" s="52">
        <f>$Q$41*$F$59+$Q$42</f>
        <v>0.6666666666666666</v>
      </c>
    </row>
    <row r="69" spans="1:24" ht="12.75">
      <c r="A69" s="13"/>
      <c r="B69" s="13"/>
      <c r="C69" s="13"/>
      <c r="D69" s="13"/>
      <c r="E69" s="15" t="s">
        <v>86</v>
      </c>
      <c r="F69" s="53">
        <f aca="true" t="shared" si="11" ref="F69:K69">1-F68</f>
        <v>0.33333333333333337</v>
      </c>
      <c r="G69" s="53">
        <f t="shared" si="11"/>
        <v>0.33333333333333337</v>
      </c>
      <c r="H69" s="53">
        <f t="shared" si="11"/>
        <v>0.33333333333333337</v>
      </c>
      <c r="I69" s="53">
        <f t="shared" si="11"/>
        <v>0.33333333333333337</v>
      </c>
      <c r="J69" s="53">
        <f t="shared" si="11"/>
        <v>0.33333333333333337</v>
      </c>
      <c r="K69" s="53">
        <f t="shared" si="11"/>
        <v>0.33333333333333337</v>
      </c>
      <c r="R69" s="53">
        <f>1-R68</f>
        <v>0.33333333333333337</v>
      </c>
      <c r="S69" s="53">
        <f>1-S68</f>
        <v>0.33333333333333337</v>
      </c>
      <c r="W69" s="53">
        <f>1-W68</f>
        <v>0.33333333333333337</v>
      </c>
      <c r="X69" s="53">
        <f>1-X68</f>
        <v>0.33333333333333337</v>
      </c>
    </row>
    <row r="70" spans="1:24" ht="12.75">
      <c r="A70" s="13"/>
      <c r="B70" s="13"/>
      <c r="C70" s="13"/>
      <c r="D70" s="17" t="s">
        <v>85</v>
      </c>
      <c r="E70" s="16" t="s">
        <v>93</v>
      </c>
      <c r="F70" s="54">
        <f aca="true" t="shared" si="12" ref="F70:K70">F68*F66+F67*F69</f>
        <v>86.66666666666666</v>
      </c>
      <c r="G70" s="54">
        <f t="shared" si="12"/>
        <v>88.66666666666667</v>
      </c>
      <c r="H70" s="54">
        <f t="shared" si="12"/>
        <v>92.33333333333333</v>
      </c>
      <c r="I70" s="54">
        <f t="shared" si="12"/>
        <v>94.5</v>
      </c>
      <c r="J70" s="54">
        <f t="shared" si="12"/>
        <v>98.66666666666666</v>
      </c>
      <c r="K70" s="54">
        <f t="shared" si="12"/>
        <v>99.16666666666667</v>
      </c>
      <c r="R70" s="54">
        <f>R68*R66+R67*R69</f>
        <v>92.33333333333333</v>
      </c>
      <c r="S70" s="54">
        <f>S68*S66+S67*S69</f>
        <v>95.33333333333333</v>
      </c>
      <c r="U70" s="51">
        <f>SUM(U18:U19)/2</f>
        <v>96</v>
      </c>
      <c r="V70" s="51">
        <f>SUM(V18:V19)/2</f>
        <v>96.5</v>
      </c>
      <c r="W70" s="54">
        <f>W68*W66+W67*W69</f>
        <v>78</v>
      </c>
      <c r="X70" s="54">
        <f>X68*X66+X67*X69</f>
        <v>85.5</v>
      </c>
    </row>
    <row r="71" spans="6:24" ht="12.75">
      <c r="F71" s="48"/>
      <c r="G71" s="48"/>
      <c r="H71" s="48"/>
      <c r="I71" s="48"/>
      <c r="J71" s="48"/>
      <c r="K71" s="48"/>
      <c r="R71" s="48"/>
      <c r="S71" s="48"/>
      <c r="W71" s="48"/>
      <c r="X71" s="48"/>
    </row>
    <row r="72" spans="1:24" ht="12.75">
      <c r="A72" s="13"/>
      <c r="B72" s="13"/>
      <c r="C72" s="13"/>
      <c r="D72" s="17" t="s">
        <v>92</v>
      </c>
      <c r="E72" s="16" t="s">
        <v>40</v>
      </c>
      <c r="F72" s="71">
        <f>(F55+F56)/2</f>
        <v>400</v>
      </c>
      <c r="G72" s="71">
        <f aca="true" t="shared" si="13" ref="G72:N72">(G55+G56)/2</f>
        <v>400</v>
      </c>
      <c r="H72" s="71">
        <f t="shared" si="13"/>
        <v>550</v>
      </c>
      <c r="I72" s="71">
        <f t="shared" si="13"/>
        <v>550</v>
      </c>
      <c r="J72" s="71">
        <f t="shared" si="13"/>
        <v>650</v>
      </c>
      <c r="K72" s="71">
        <f t="shared" si="13"/>
        <v>650</v>
      </c>
      <c r="M72" s="71">
        <f t="shared" si="13"/>
        <v>75</v>
      </c>
      <c r="N72" s="71">
        <f t="shared" si="13"/>
        <v>75</v>
      </c>
      <c r="R72" s="71">
        <f>(R55+R56)/2</f>
        <v>650</v>
      </c>
      <c r="S72" s="71">
        <f>(S55+S56)/2</f>
        <v>750</v>
      </c>
      <c r="W72" s="71">
        <f>(W55+W56)/2</f>
        <v>800</v>
      </c>
      <c r="X72" s="71">
        <f>(X55+X56)/2</f>
        <v>900</v>
      </c>
    </row>
    <row r="73" spans="6:11" ht="12.75">
      <c r="F73" s="48"/>
      <c r="G73" s="48"/>
      <c r="H73" s="48"/>
      <c r="I73" s="48"/>
      <c r="J73" s="48"/>
      <c r="K73" s="48"/>
    </row>
    <row r="74" spans="6:11" ht="12.75">
      <c r="F74" s="48"/>
      <c r="G74" s="48"/>
      <c r="H74" s="48"/>
      <c r="I74" s="48"/>
      <c r="J74" s="48"/>
      <c r="K74" s="48"/>
    </row>
    <row r="75" spans="6:11" ht="12.75">
      <c r="F75" s="48"/>
      <c r="G75" s="48"/>
      <c r="H75" s="48"/>
      <c r="I75" s="48"/>
      <c r="J75" s="48"/>
      <c r="K75" s="48"/>
    </row>
    <row r="76" spans="1:24" ht="15.75">
      <c r="A76" s="27" t="s">
        <v>458</v>
      </c>
      <c r="B76" s="27"/>
      <c r="C76" s="28"/>
      <c r="D76" s="28"/>
      <c r="E76" s="28"/>
      <c r="F76" s="55"/>
      <c r="G76" s="55"/>
      <c r="H76" s="55"/>
      <c r="I76" s="55"/>
      <c r="J76" s="55"/>
      <c r="K76" s="55"/>
      <c r="L76" s="28"/>
      <c r="M76" s="28"/>
      <c r="N76" s="28"/>
      <c r="O76" s="28"/>
      <c r="P76" s="28"/>
      <c r="Q76" s="28"/>
      <c r="R76" s="28"/>
      <c r="S76" s="28"/>
      <c r="T76" s="28"/>
      <c r="U76" s="28"/>
      <c r="V76" s="28"/>
      <c r="W76" s="28"/>
      <c r="X76" s="28"/>
    </row>
    <row r="77" spans="6:11" ht="12.75">
      <c r="F77" s="48"/>
      <c r="G77" s="48"/>
      <c r="H77" s="48"/>
      <c r="I77" s="48"/>
      <c r="J77" s="48"/>
      <c r="K77" s="48"/>
    </row>
    <row r="78" spans="6:11" ht="12.75">
      <c r="F78" s="48"/>
      <c r="G78" s="48"/>
      <c r="H78" s="48"/>
      <c r="I78" s="48"/>
      <c r="J78" s="48"/>
      <c r="K78" s="48"/>
    </row>
    <row r="79" spans="1:11" ht="12.75">
      <c r="A79" s="1" t="s">
        <v>65</v>
      </c>
      <c r="B79" s="1"/>
      <c r="F79" s="48"/>
      <c r="G79" s="48"/>
      <c r="H79" s="48"/>
      <c r="I79" s="48"/>
      <c r="J79" s="48"/>
      <c r="K79" s="48"/>
    </row>
    <row r="80" spans="1:24" ht="12.75">
      <c r="A80" s="12" t="s">
        <v>102</v>
      </c>
      <c r="B80" s="12"/>
      <c r="C80" s="9"/>
      <c r="D80" s="9"/>
      <c r="E80" s="10"/>
      <c r="F80" s="46"/>
      <c r="G80" s="46"/>
      <c r="H80" s="46"/>
      <c r="I80" s="46"/>
      <c r="J80" s="46"/>
      <c r="K80" s="46"/>
      <c r="R80" s="46"/>
      <c r="S80" s="46"/>
      <c r="W80" s="46"/>
      <c r="X80" s="46"/>
    </row>
    <row r="81" spans="1:24" ht="12.75">
      <c r="A81" s="9"/>
      <c r="B81" s="9"/>
      <c r="C81" s="9"/>
      <c r="D81" s="9" t="str">
        <f aca="true" t="shared" si="14" ref="D81:K81">D70</f>
        <v>Annual eff</v>
      </c>
      <c r="E81" s="9" t="str">
        <f t="shared" si="14"/>
        <v>Hi net%</v>
      </c>
      <c r="F81" s="56">
        <f t="shared" si="14"/>
        <v>86.66666666666666</v>
      </c>
      <c r="G81" s="56">
        <f t="shared" si="14"/>
        <v>88.66666666666667</v>
      </c>
      <c r="H81" s="56">
        <f t="shared" si="14"/>
        <v>92.33333333333333</v>
      </c>
      <c r="I81" s="56">
        <f t="shared" si="14"/>
        <v>94.5</v>
      </c>
      <c r="J81" s="56">
        <f t="shared" si="14"/>
        <v>98.66666666666666</v>
      </c>
      <c r="K81" s="56">
        <f t="shared" si="14"/>
        <v>99.16666666666667</v>
      </c>
      <c r="M81" s="56">
        <f>(M12+M13+M14+M15)/4</f>
        <v>95</v>
      </c>
      <c r="N81" s="56">
        <f>(N12+N13+N14+N15)/4</f>
        <v>90</v>
      </c>
      <c r="R81" s="56">
        <f>R70</f>
        <v>92.33333333333333</v>
      </c>
      <c r="S81" s="56">
        <f>S70</f>
        <v>95.33333333333333</v>
      </c>
      <c r="U81" s="56">
        <f>U70</f>
        <v>96</v>
      </c>
      <c r="V81" s="56">
        <f>V70</f>
        <v>96.5</v>
      </c>
      <c r="W81" s="56">
        <f>W70</f>
        <v>78</v>
      </c>
      <c r="X81" s="56">
        <f>X70</f>
        <v>85.5</v>
      </c>
    </row>
    <row r="82" spans="1:24" ht="12.75">
      <c r="A82" s="9"/>
      <c r="B82" s="9"/>
      <c r="C82" s="9"/>
      <c r="D82" s="9" t="str">
        <f>D72</f>
        <v>El.</v>
      </c>
      <c r="E82" s="9" t="str">
        <f>E72</f>
        <v>kWh/y</v>
      </c>
      <c r="F82" s="47">
        <f>F72</f>
        <v>400</v>
      </c>
      <c r="G82" s="47">
        <f aca="true" t="shared" si="15" ref="G82:N82">G72</f>
        <v>400</v>
      </c>
      <c r="H82" s="47">
        <f t="shared" si="15"/>
        <v>550</v>
      </c>
      <c r="I82" s="47">
        <f t="shared" si="15"/>
        <v>550</v>
      </c>
      <c r="J82" s="47">
        <f t="shared" si="15"/>
        <v>650</v>
      </c>
      <c r="K82" s="47">
        <f t="shared" si="15"/>
        <v>650</v>
      </c>
      <c r="M82" s="47">
        <f t="shared" si="15"/>
        <v>75</v>
      </c>
      <c r="N82" s="47">
        <f t="shared" si="15"/>
        <v>75</v>
      </c>
      <c r="R82" s="47">
        <f>R72</f>
        <v>650</v>
      </c>
      <c r="S82" s="47">
        <f>S72</f>
        <v>750</v>
      </c>
      <c r="U82" s="47">
        <f>U72</f>
        <v>0</v>
      </c>
      <c r="V82" s="47">
        <f>V72</f>
        <v>0</v>
      </c>
      <c r="W82" s="47">
        <f>W72</f>
        <v>800</v>
      </c>
      <c r="X82" s="47">
        <f>X72</f>
        <v>900</v>
      </c>
    </row>
    <row r="83" spans="1:24" ht="12.75">
      <c r="A83" s="9"/>
      <c r="B83" s="9"/>
      <c r="C83" s="9"/>
      <c r="D83" s="9" t="str">
        <f>B60</f>
        <v>Heat demand</v>
      </c>
      <c r="E83" s="11" t="str">
        <f>E60</f>
        <v>kWh/year</v>
      </c>
      <c r="F83" s="47">
        <f>$F$60</f>
        <v>20000</v>
      </c>
      <c r="G83" s="47">
        <f aca="true" t="shared" si="16" ref="G83:N83">$F$60</f>
        <v>20000</v>
      </c>
      <c r="H83" s="47">
        <f t="shared" si="16"/>
        <v>20000</v>
      </c>
      <c r="I83" s="47">
        <f t="shared" si="16"/>
        <v>20000</v>
      </c>
      <c r="J83" s="47">
        <f t="shared" si="16"/>
        <v>20000</v>
      </c>
      <c r="K83" s="47">
        <f t="shared" si="16"/>
        <v>20000</v>
      </c>
      <c r="M83" s="47">
        <f t="shared" si="16"/>
        <v>20000</v>
      </c>
      <c r="N83" s="47">
        <f t="shared" si="16"/>
        <v>20000</v>
      </c>
      <c r="R83" s="47">
        <f>$F$60</f>
        <v>20000</v>
      </c>
      <c r="S83" s="47">
        <f>$F$60</f>
        <v>20000</v>
      </c>
      <c r="U83" s="47">
        <f>$F$60</f>
        <v>20000</v>
      </c>
      <c r="V83" s="47">
        <f>$F$60</f>
        <v>20000</v>
      </c>
      <c r="W83" s="47">
        <f>$F$60</f>
        <v>20000</v>
      </c>
      <c r="X83" s="47">
        <f>$F$60</f>
        <v>20000</v>
      </c>
    </row>
    <row r="84" spans="6:24" ht="12.75">
      <c r="F84" s="48"/>
      <c r="G84" s="48"/>
      <c r="H84" s="48"/>
      <c r="I84" s="48"/>
      <c r="J84" s="48"/>
      <c r="K84" s="48"/>
      <c r="R84" s="48"/>
      <c r="S84" s="48"/>
      <c r="W84" s="48"/>
      <c r="X84" s="48"/>
    </row>
    <row r="85" spans="1:24" ht="12.75">
      <c r="A85" s="1"/>
      <c r="B85" s="1"/>
      <c r="D85" s="100" t="s">
        <v>264</v>
      </c>
      <c r="E85" s="5"/>
      <c r="F85" s="50"/>
      <c r="G85" s="50"/>
      <c r="H85" s="50"/>
      <c r="I85" s="50"/>
      <c r="J85" s="50"/>
      <c r="K85" s="50"/>
      <c r="L85" s="5"/>
      <c r="M85" s="5"/>
      <c r="N85" s="5"/>
      <c r="O85" s="5"/>
      <c r="P85" s="5"/>
      <c r="Q85" s="5"/>
      <c r="R85" s="50"/>
      <c r="S85" s="50"/>
      <c r="T85" s="5"/>
      <c r="U85" s="5"/>
      <c r="V85" s="5"/>
      <c r="W85" s="50"/>
      <c r="X85" s="50"/>
    </row>
    <row r="86" spans="1:24" ht="12.75">
      <c r="A86" s="16" t="s">
        <v>112</v>
      </c>
      <c r="B86" s="16"/>
      <c r="C86" s="13"/>
      <c r="D86" s="14" t="s">
        <v>262</v>
      </c>
      <c r="E86" s="15"/>
      <c r="F86" s="57">
        <f aca="true" t="shared" si="17" ref="F86:K86">F83/F81*100</f>
        <v>23076.92307692308</v>
      </c>
      <c r="G86" s="57">
        <f t="shared" si="17"/>
        <v>22556.390977443607</v>
      </c>
      <c r="H86" s="57">
        <f t="shared" si="17"/>
        <v>21660.649819494585</v>
      </c>
      <c r="I86" s="57">
        <f t="shared" si="17"/>
        <v>21164.021164021164</v>
      </c>
      <c r="J86" s="57">
        <f t="shared" si="17"/>
        <v>20270.27027027027</v>
      </c>
      <c r="K86" s="57">
        <f t="shared" si="17"/>
        <v>20168.067226890755</v>
      </c>
      <c r="M86" s="57">
        <f>M83/M81*100</f>
        <v>21052.631578947367</v>
      </c>
      <c r="N86" s="57">
        <f>N83/N81*100</f>
        <v>22222.222222222223</v>
      </c>
      <c r="R86" s="57">
        <f>R83/R81*100</f>
        <v>21660.649819494585</v>
      </c>
      <c r="S86" s="57">
        <f>S83/S81*100</f>
        <v>20979.020979020977</v>
      </c>
      <c r="U86" s="57">
        <f>U83/U81*100</f>
        <v>20833.333333333336</v>
      </c>
      <c r="V86" s="57">
        <f>V83/V81*100</f>
        <v>20725.38860103627</v>
      </c>
      <c r="W86" s="57">
        <f>W83/W81*100</f>
        <v>25641.02564102564</v>
      </c>
      <c r="X86" s="57">
        <f>X83/X81*100</f>
        <v>23391.812865497075</v>
      </c>
    </row>
    <row r="87" spans="1:24" ht="12.75">
      <c r="A87" s="34" t="s">
        <v>148</v>
      </c>
      <c r="B87" s="34"/>
      <c r="C87" s="13"/>
      <c r="D87" s="14" t="s">
        <v>263</v>
      </c>
      <c r="E87" s="15"/>
      <c r="F87" s="50">
        <f aca="true" t="shared" si="18" ref="F87:K87">F82</f>
        <v>400</v>
      </c>
      <c r="G87" s="50">
        <f t="shared" si="18"/>
        <v>400</v>
      </c>
      <c r="H87" s="50">
        <f t="shared" si="18"/>
        <v>550</v>
      </c>
      <c r="I87" s="50">
        <f t="shared" si="18"/>
        <v>550</v>
      </c>
      <c r="J87" s="50">
        <f t="shared" si="18"/>
        <v>650</v>
      </c>
      <c r="K87" s="50">
        <f t="shared" si="18"/>
        <v>650</v>
      </c>
      <c r="M87" s="50">
        <f>M82</f>
        <v>75</v>
      </c>
      <c r="N87" s="50">
        <f>N82</f>
        <v>75</v>
      </c>
      <c r="R87" s="50">
        <f>R82</f>
        <v>650</v>
      </c>
      <c r="S87" s="50">
        <f>S82</f>
        <v>750</v>
      </c>
      <c r="U87" s="50"/>
      <c r="V87" s="50"/>
      <c r="W87" s="50">
        <f>W82</f>
        <v>800</v>
      </c>
      <c r="X87" s="50">
        <f>X82</f>
        <v>900</v>
      </c>
    </row>
    <row r="88" spans="1:24" ht="12.75">
      <c r="A88" s="13"/>
      <c r="B88" s="13"/>
      <c r="C88" s="13"/>
      <c r="D88" s="13" t="s">
        <v>104</v>
      </c>
      <c r="E88" s="15"/>
      <c r="F88" s="50"/>
      <c r="G88" s="50"/>
      <c r="H88" s="50"/>
      <c r="I88" s="50"/>
      <c r="J88" s="50"/>
      <c r="K88" s="50"/>
      <c r="M88" s="50"/>
      <c r="N88" s="50"/>
      <c r="R88" s="50"/>
      <c r="S88" s="50"/>
      <c r="U88" s="50"/>
      <c r="V88" s="50"/>
      <c r="W88" s="50"/>
      <c r="X88" s="50"/>
    </row>
    <row r="93" spans="6:24" ht="12.75">
      <c r="F93" s="48"/>
      <c r="G93" s="48"/>
      <c r="H93" s="48"/>
      <c r="I93" s="48"/>
      <c r="J93" s="48"/>
      <c r="K93" s="48"/>
      <c r="M93" s="48"/>
      <c r="N93" s="48"/>
      <c r="R93" s="48"/>
      <c r="S93" s="48"/>
      <c r="U93" s="48"/>
      <c r="V93" s="48"/>
      <c r="W93" s="48"/>
      <c r="X93" s="48"/>
    </row>
    <row r="96" spans="1:10" ht="12.75">
      <c r="A96" s="16" t="s">
        <v>149</v>
      </c>
      <c r="B96" s="16"/>
      <c r="C96" s="13"/>
      <c r="D96" s="91" t="s">
        <v>150</v>
      </c>
      <c r="E96" s="91"/>
      <c r="F96" s="29" t="s">
        <v>151</v>
      </c>
      <c r="G96" s="91"/>
      <c r="H96" s="91"/>
      <c r="I96" s="91"/>
      <c r="J96" s="91"/>
    </row>
    <row r="97" spans="1:21" ht="18.75">
      <c r="A97" s="38" t="s">
        <v>31</v>
      </c>
      <c r="B97" s="34"/>
      <c r="C97" s="13"/>
      <c r="D97" s="91"/>
      <c r="E97" s="91"/>
      <c r="F97" s="29" t="s">
        <v>152</v>
      </c>
      <c r="G97" s="91"/>
      <c r="H97" s="91"/>
      <c r="I97" s="91"/>
      <c r="J97" s="91"/>
      <c r="N97" s="35"/>
      <c r="O97" s="58" t="s">
        <v>457</v>
      </c>
      <c r="P97" s="20"/>
      <c r="Q97" s="20"/>
      <c r="R97" s="20"/>
      <c r="S97" s="20"/>
      <c r="T97" s="20"/>
      <c r="U97" s="21"/>
    </row>
    <row r="98" spans="1:21" ht="12.75">
      <c r="A98" s="13" t="s">
        <v>158</v>
      </c>
      <c r="B98" s="13"/>
      <c r="C98" s="13"/>
      <c r="D98" s="91"/>
      <c r="E98" s="91"/>
      <c r="F98" s="29" t="s">
        <v>153</v>
      </c>
      <c r="G98" s="91"/>
      <c r="H98" s="91"/>
      <c r="I98" s="91"/>
      <c r="J98" s="91"/>
      <c r="N98" s="69"/>
      <c r="O98" s="122" t="s">
        <v>94</v>
      </c>
      <c r="P98" s="61"/>
      <c r="Q98" s="62"/>
      <c r="R98" s="61"/>
      <c r="S98" s="61"/>
      <c r="T98" s="61"/>
      <c r="U98" s="23"/>
    </row>
    <row r="99" spans="4:21" ht="12.75">
      <c r="D99" s="91"/>
      <c r="E99" s="91"/>
      <c r="F99" s="29" t="s">
        <v>159</v>
      </c>
      <c r="G99" s="91"/>
      <c r="H99" s="91"/>
      <c r="I99" s="91"/>
      <c r="J99" s="91"/>
      <c r="N99" s="69"/>
      <c r="O99" s="61" t="s">
        <v>266</v>
      </c>
      <c r="P99" s="63"/>
      <c r="Q99" s="64"/>
      <c r="R99" s="61"/>
      <c r="S99" s="61"/>
      <c r="T99" s="61"/>
      <c r="U99" s="23"/>
    </row>
    <row r="100" spans="4:21" ht="12.75">
      <c r="D100" s="91" t="s">
        <v>154</v>
      </c>
      <c r="E100" s="91"/>
      <c r="F100" s="29" t="s">
        <v>155</v>
      </c>
      <c r="G100" s="91"/>
      <c r="H100" s="91"/>
      <c r="I100" s="91"/>
      <c r="J100" s="91"/>
      <c r="N100" s="69"/>
      <c r="O100" s="61" t="s">
        <v>267</v>
      </c>
      <c r="P100" s="121" t="s">
        <v>268</v>
      </c>
      <c r="Q100" s="61"/>
      <c r="R100" s="61"/>
      <c r="S100" s="61"/>
      <c r="T100" s="61"/>
      <c r="U100" s="23"/>
    </row>
    <row r="101" spans="4:21" ht="12.75">
      <c r="D101" s="91"/>
      <c r="E101" s="91"/>
      <c r="F101" s="29" t="s">
        <v>156</v>
      </c>
      <c r="G101" s="91"/>
      <c r="H101" s="91"/>
      <c r="I101" s="91"/>
      <c r="J101" s="91"/>
      <c r="N101" s="69"/>
      <c r="O101" s="61" t="s">
        <v>269</v>
      </c>
      <c r="P101" s="61"/>
      <c r="Q101" s="61"/>
      <c r="R101" s="61"/>
      <c r="S101" s="61"/>
      <c r="T101" s="61"/>
      <c r="U101" s="23"/>
    </row>
    <row r="102" spans="4:21" ht="12.75">
      <c r="D102" s="91"/>
      <c r="E102" s="91"/>
      <c r="F102" s="29" t="s">
        <v>157</v>
      </c>
      <c r="G102" s="91"/>
      <c r="H102" s="91"/>
      <c r="I102" s="91"/>
      <c r="J102" s="91"/>
      <c r="N102" s="69"/>
      <c r="O102" s="61" t="s">
        <v>270</v>
      </c>
      <c r="P102" s="61" t="s">
        <v>271</v>
      </c>
      <c r="Q102" s="61"/>
      <c r="R102" s="61"/>
      <c r="S102" s="61"/>
      <c r="T102" s="61"/>
      <c r="U102" s="23"/>
    </row>
    <row r="103" spans="14:21" ht="12.75">
      <c r="N103" s="69"/>
      <c r="O103" s="61" t="s">
        <v>272</v>
      </c>
      <c r="P103" s="66"/>
      <c r="Q103" s="61"/>
      <c r="R103" s="61"/>
      <c r="S103" s="61"/>
      <c r="T103" s="61"/>
      <c r="U103" s="23"/>
    </row>
    <row r="104" spans="14:21" ht="12.75">
      <c r="N104" s="69"/>
      <c r="O104" s="61" t="s">
        <v>273</v>
      </c>
      <c r="P104" s="66"/>
      <c r="Q104" s="61"/>
      <c r="R104" s="61"/>
      <c r="S104" s="61"/>
      <c r="T104" s="61"/>
      <c r="U104" s="23"/>
    </row>
    <row r="105" spans="14:21" ht="12.75">
      <c r="N105" s="69"/>
      <c r="O105" s="61"/>
      <c r="P105" s="66"/>
      <c r="Q105" s="61"/>
      <c r="R105" s="61"/>
      <c r="S105" s="61"/>
      <c r="T105" s="61"/>
      <c r="U105" s="23"/>
    </row>
    <row r="106" spans="14:21" ht="12.75">
      <c r="N106" s="36"/>
      <c r="O106" s="37"/>
      <c r="P106" s="37"/>
      <c r="Q106" s="37"/>
      <c r="R106" s="37"/>
      <c r="S106" s="37"/>
      <c r="T106" s="37"/>
      <c r="U106" s="25"/>
    </row>
  </sheetData>
  <printOptions/>
  <pageMargins left="0.75" right="0.75" top="1" bottom="1"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V74"/>
  <sheetViews>
    <sheetView workbookViewId="0" topLeftCell="A1">
      <pane xSplit="1" ySplit="6" topLeftCell="B10" activePane="bottomRight" state="frozen"/>
      <selection pane="topLeft" activeCell="A1" sqref="A1"/>
      <selection pane="topRight" activeCell="B1" sqref="B1"/>
      <selection pane="bottomLeft" activeCell="A7" sqref="A7"/>
      <selection pane="bottomRight" activeCell="A23" sqref="A23"/>
    </sheetView>
  </sheetViews>
  <sheetFormatPr defaultColWidth="11.421875" defaultRowHeight="12.75"/>
  <cols>
    <col min="1" max="1" width="35.140625" style="0" bestFit="1" customWidth="1"/>
    <col min="2" max="16" width="6.7109375" style="0" customWidth="1"/>
    <col min="17" max="19" width="3.7109375" style="0" customWidth="1"/>
    <col min="20" max="21" width="6.7109375" style="0" customWidth="1"/>
    <col min="22" max="16384" width="9.140625" style="0" customWidth="1"/>
  </cols>
  <sheetData>
    <row r="1" ht="12.75">
      <c r="A1" t="s">
        <v>466</v>
      </c>
    </row>
    <row r="3" spans="1:22" ht="12.75">
      <c r="A3" s="190"/>
      <c r="B3" s="191" t="s">
        <v>207</v>
      </c>
      <c r="C3" s="190"/>
      <c r="D3" s="190"/>
      <c r="E3" s="190"/>
      <c r="F3" s="190"/>
      <c r="G3" s="190"/>
      <c r="H3" s="190"/>
      <c r="I3" s="190"/>
      <c r="J3" s="190"/>
      <c r="K3" s="190"/>
      <c r="L3" s="190"/>
      <c r="M3" s="190"/>
      <c r="N3" s="190"/>
      <c r="O3" s="190"/>
      <c r="P3" s="190"/>
      <c r="Q3" s="190"/>
      <c r="R3" s="190"/>
      <c r="S3" s="190"/>
      <c r="T3" s="190"/>
      <c r="U3" s="190"/>
      <c r="V3" s="102"/>
    </row>
    <row r="4" spans="1:22" ht="12.75">
      <c r="A4" s="104"/>
      <c r="B4" s="102"/>
      <c r="C4" s="102"/>
      <c r="D4" s="102"/>
      <c r="E4" s="102"/>
      <c r="F4" s="102"/>
      <c r="G4" s="102"/>
      <c r="H4" s="102"/>
      <c r="I4" s="102"/>
      <c r="J4" s="102"/>
      <c r="K4" s="102"/>
      <c r="L4" s="102"/>
      <c r="M4" s="102"/>
      <c r="N4" s="102"/>
      <c r="O4" s="102"/>
      <c r="P4" s="102"/>
      <c r="Q4" s="102"/>
      <c r="R4" s="102"/>
      <c r="S4" s="102"/>
      <c r="T4" s="102"/>
      <c r="U4" s="102"/>
      <c r="V4" s="102"/>
    </row>
    <row r="5" spans="1:22" ht="12.75">
      <c r="A5" s="105" t="s">
        <v>208</v>
      </c>
      <c r="B5" s="102" t="s">
        <v>172</v>
      </c>
      <c r="C5" s="102" t="s">
        <v>176</v>
      </c>
      <c r="D5" s="102" t="s">
        <v>121</v>
      </c>
      <c r="E5" s="102" t="s">
        <v>178</v>
      </c>
      <c r="F5" s="102" t="s">
        <v>179</v>
      </c>
      <c r="G5" s="102" t="s">
        <v>180</v>
      </c>
      <c r="H5" s="102" t="s">
        <v>181</v>
      </c>
      <c r="I5" s="102" t="s">
        <v>182</v>
      </c>
      <c r="J5" s="102" t="s">
        <v>183</v>
      </c>
      <c r="K5" s="102" t="s">
        <v>184</v>
      </c>
      <c r="L5" s="102" t="s">
        <v>185</v>
      </c>
      <c r="M5" s="102" t="s">
        <v>186</v>
      </c>
      <c r="N5" s="102" t="s">
        <v>187</v>
      </c>
      <c r="O5" s="102"/>
      <c r="P5" s="102"/>
      <c r="Q5" s="102"/>
      <c r="R5" s="102"/>
      <c r="S5" s="102"/>
      <c r="T5" s="102"/>
      <c r="U5" s="102"/>
      <c r="V5" s="102"/>
    </row>
    <row r="6" spans="1:22" ht="87">
      <c r="A6" s="102"/>
      <c r="B6" s="106" t="s">
        <v>209</v>
      </c>
      <c r="C6" s="106" t="s">
        <v>210</v>
      </c>
      <c r="D6" s="106" t="s">
        <v>211</v>
      </c>
      <c r="E6" s="106" t="s">
        <v>212</v>
      </c>
      <c r="F6" s="106" t="s">
        <v>213</v>
      </c>
      <c r="G6" s="106" t="s">
        <v>214</v>
      </c>
      <c r="H6" s="106" t="s">
        <v>215</v>
      </c>
      <c r="I6" s="106" t="s">
        <v>216</v>
      </c>
      <c r="J6" s="106" t="s">
        <v>217</v>
      </c>
      <c r="K6" s="107" t="s">
        <v>218</v>
      </c>
      <c r="L6" s="107" t="s">
        <v>219</v>
      </c>
      <c r="M6" s="106" t="s">
        <v>220</v>
      </c>
      <c r="N6" s="107" t="s">
        <v>221</v>
      </c>
      <c r="O6" s="107" t="s">
        <v>222</v>
      </c>
      <c r="P6" s="106" t="s">
        <v>186</v>
      </c>
      <c r="Q6" s="106" t="s">
        <v>223</v>
      </c>
      <c r="R6" s="106" t="s">
        <v>224</v>
      </c>
      <c r="S6" s="106" t="s">
        <v>225</v>
      </c>
      <c r="T6" s="106"/>
      <c r="U6" s="106" t="s">
        <v>184</v>
      </c>
      <c r="V6" s="102"/>
    </row>
    <row r="7" spans="1:22" ht="12.75">
      <c r="A7" s="102"/>
      <c r="B7" s="102"/>
      <c r="C7" s="102"/>
      <c r="D7" s="102"/>
      <c r="E7" s="102"/>
      <c r="F7" s="102"/>
      <c r="G7" s="102"/>
      <c r="H7" s="102"/>
      <c r="I7" s="102"/>
      <c r="J7" s="102"/>
      <c r="K7" s="102"/>
      <c r="L7" s="102"/>
      <c r="M7" s="102"/>
      <c r="N7" s="102"/>
      <c r="O7" s="102"/>
      <c r="P7" s="102"/>
      <c r="Q7" s="102"/>
      <c r="R7" s="102"/>
      <c r="S7" s="102"/>
      <c r="T7" s="102"/>
      <c r="U7" s="102"/>
      <c r="V7" s="102"/>
    </row>
    <row r="8" spans="1:22" ht="12.75">
      <c r="A8" s="102"/>
      <c r="B8" s="102"/>
      <c r="C8" s="102"/>
      <c r="D8" s="102"/>
      <c r="E8" s="102"/>
      <c r="F8" s="102"/>
      <c r="G8" s="102"/>
      <c r="H8" s="102"/>
      <c r="I8" s="102"/>
      <c r="J8" s="102"/>
      <c r="K8" s="102"/>
      <c r="L8" s="102"/>
      <c r="M8" s="102"/>
      <c r="N8" s="102"/>
      <c r="O8" s="102"/>
      <c r="P8" s="102"/>
      <c r="Q8" s="102"/>
      <c r="R8" s="102"/>
      <c r="S8" s="102"/>
      <c r="T8" s="102"/>
      <c r="U8" s="102"/>
      <c r="V8" s="102"/>
    </row>
    <row r="9" spans="1:22" ht="12.75">
      <c r="A9" s="102"/>
      <c r="B9" s="106"/>
      <c r="C9" s="106"/>
      <c r="D9" s="106"/>
      <c r="E9" s="106"/>
      <c r="F9" s="106"/>
      <c r="G9" s="106"/>
      <c r="H9" s="106"/>
      <c r="I9" s="106"/>
      <c r="J9" s="106"/>
      <c r="K9" s="107"/>
      <c r="L9" s="107"/>
      <c r="M9" s="106"/>
      <c r="N9" s="107"/>
      <c r="O9" s="107"/>
      <c r="P9" s="106"/>
      <c r="Q9" s="106"/>
      <c r="R9" s="106"/>
      <c r="S9" s="106"/>
      <c r="T9" s="106"/>
      <c r="U9" s="106"/>
      <c r="V9" s="102"/>
    </row>
    <row r="10" spans="1:22" ht="12.75">
      <c r="A10" s="108" t="s">
        <v>226</v>
      </c>
      <c r="B10" s="102"/>
      <c r="C10" s="102"/>
      <c r="D10" s="102"/>
      <c r="E10" s="102"/>
      <c r="F10" s="102"/>
      <c r="G10" s="102"/>
      <c r="H10" s="102"/>
      <c r="I10" s="102"/>
      <c r="J10" s="102"/>
      <c r="K10" s="102"/>
      <c r="L10" s="102"/>
      <c r="M10" s="102"/>
      <c r="N10" s="102"/>
      <c r="O10" s="102"/>
      <c r="P10" s="102"/>
      <c r="Q10" s="102"/>
      <c r="R10" s="102"/>
      <c r="S10" s="102"/>
      <c r="T10" s="102"/>
      <c r="U10" s="102"/>
      <c r="V10" s="102"/>
    </row>
    <row r="11" spans="1:22" ht="12.75">
      <c r="A11" s="109" t="s">
        <v>227</v>
      </c>
      <c r="B11" s="102"/>
      <c r="C11" s="102"/>
      <c r="D11" s="102"/>
      <c r="E11" s="102"/>
      <c r="F11" s="102"/>
      <c r="G11" s="102"/>
      <c r="H11" s="102"/>
      <c r="I11" s="102"/>
      <c r="J11" s="102"/>
      <c r="K11" s="102"/>
      <c r="L11" s="102"/>
      <c r="M11" s="102"/>
      <c r="N11" s="102"/>
      <c r="O11" s="102"/>
      <c r="P11" s="102"/>
      <c r="Q11" s="102"/>
      <c r="R11" s="102"/>
      <c r="S11" s="102"/>
      <c r="T11" s="102"/>
      <c r="U11" s="102"/>
      <c r="V11" s="102"/>
    </row>
    <row r="12" spans="1:22" ht="12.75">
      <c r="A12" s="110" t="s">
        <v>228</v>
      </c>
      <c r="B12" s="102">
        <v>84</v>
      </c>
      <c r="C12" s="102">
        <v>175</v>
      </c>
      <c r="D12" s="102"/>
      <c r="E12" s="102">
        <v>148</v>
      </c>
      <c r="F12" s="102">
        <v>29</v>
      </c>
      <c r="G12" s="102">
        <v>834</v>
      </c>
      <c r="H12" s="102">
        <v>810</v>
      </c>
      <c r="I12" s="102">
        <v>1360</v>
      </c>
      <c r="J12" s="102"/>
      <c r="K12" s="102">
        <v>420</v>
      </c>
      <c r="L12" s="102">
        <v>237</v>
      </c>
      <c r="M12" s="102">
        <v>60</v>
      </c>
      <c r="N12" s="102">
        <v>546</v>
      </c>
      <c r="O12" s="102"/>
      <c r="P12" s="102">
        <v>1767</v>
      </c>
      <c r="Q12" s="102"/>
      <c r="R12" s="102"/>
      <c r="S12" s="102"/>
      <c r="T12" s="102"/>
      <c r="U12" s="102">
        <v>50</v>
      </c>
      <c r="V12" s="102"/>
    </row>
    <row r="13" spans="1:22" ht="12.75">
      <c r="A13" s="110" t="s">
        <v>229</v>
      </c>
      <c r="B13" s="102">
        <v>220</v>
      </c>
      <c r="C13" s="102">
        <v>366</v>
      </c>
      <c r="D13" s="102"/>
      <c r="E13" s="102">
        <v>339</v>
      </c>
      <c r="F13" s="102">
        <v>63</v>
      </c>
      <c r="G13" s="102">
        <v>2093</v>
      </c>
      <c r="H13" s="102">
        <v>2292</v>
      </c>
      <c r="I13" s="102">
        <v>2761</v>
      </c>
      <c r="J13" s="102"/>
      <c r="K13" s="102">
        <v>565</v>
      </c>
      <c r="L13" s="102">
        <v>784</v>
      </c>
      <c r="M13" s="102">
        <v>111</v>
      </c>
      <c r="N13" s="102">
        <v>1985</v>
      </c>
      <c r="O13" s="102"/>
      <c r="P13" s="102">
        <v>3502</v>
      </c>
      <c r="Q13" s="102"/>
      <c r="R13" s="102"/>
      <c r="S13" s="102"/>
      <c r="T13" s="102"/>
      <c r="U13" s="102">
        <v>370</v>
      </c>
      <c r="V13" s="102"/>
    </row>
    <row r="14" spans="1:22" ht="12.75">
      <c r="A14" s="102"/>
      <c r="B14" s="102"/>
      <c r="C14" s="102"/>
      <c r="D14" s="102"/>
      <c r="E14" s="102"/>
      <c r="F14" s="102"/>
      <c r="G14" s="102"/>
      <c r="H14" s="102"/>
      <c r="I14" s="102"/>
      <c r="J14" s="102"/>
      <c r="K14" s="102"/>
      <c r="L14" s="102"/>
      <c r="M14" s="102"/>
      <c r="N14" s="102"/>
      <c r="O14" s="102"/>
      <c r="P14" s="102"/>
      <c r="Q14" s="102"/>
      <c r="R14" s="102"/>
      <c r="S14" s="102"/>
      <c r="T14" s="102"/>
      <c r="U14" s="102"/>
      <c r="V14" s="102"/>
    </row>
    <row r="15" spans="1:22" ht="12.75">
      <c r="A15" s="102"/>
      <c r="B15" s="102"/>
      <c r="C15" s="102"/>
      <c r="D15" s="102"/>
      <c r="E15" s="102"/>
      <c r="F15" s="102"/>
      <c r="G15" s="102"/>
      <c r="H15" s="102"/>
      <c r="I15" s="102"/>
      <c r="J15" s="102"/>
      <c r="K15" s="102"/>
      <c r="L15" s="102"/>
      <c r="M15" s="102"/>
      <c r="N15" s="102"/>
      <c r="O15" s="102"/>
      <c r="P15" s="102"/>
      <c r="Q15" s="102"/>
      <c r="R15" s="102"/>
      <c r="S15" s="102"/>
      <c r="T15" s="102"/>
      <c r="U15" s="102"/>
      <c r="V15" s="102"/>
    </row>
    <row r="16" spans="1:22" ht="12.75">
      <c r="A16" s="103" t="s">
        <v>230</v>
      </c>
      <c r="B16" s="102"/>
      <c r="C16" s="102"/>
      <c r="D16" s="102"/>
      <c r="E16" s="102"/>
      <c r="F16" s="102"/>
      <c r="G16" s="102"/>
      <c r="H16" s="102"/>
      <c r="I16" s="102"/>
      <c r="J16" s="102"/>
      <c r="K16" s="102"/>
      <c r="L16" s="102"/>
      <c r="M16" s="102"/>
      <c r="N16" s="102"/>
      <c r="O16" s="102"/>
      <c r="P16" s="102"/>
      <c r="Q16" s="102"/>
      <c r="R16" s="102"/>
      <c r="S16" s="102"/>
      <c r="T16" s="102"/>
      <c r="U16" s="102"/>
      <c r="V16" s="102"/>
    </row>
    <row r="17" spans="1:22" ht="12.75">
      <c r="A17" s="104" t="s">
        <v>231</v>
      </c>
      <c r="B17" s="102">
        <v>573</v>
      </c>
      <c r="C17" s="102"/>
      <c r="D17" s="102"/>
      <c r="E17" s="102">
        <v>1350</v>
      </c>
      <c r="F17" s="102">
        <v>1560</v>
      </c>
      <c r="G17" s="102">
        <v>850</v>
      </c>
      <c r="H17" s="102">
        <v>4900</v>
      </c>
      <c r="I17" s="102">
        <v>5500</v>
      </c>
      <c r="J17" s="102"/>
      <c r="K17" s="102">
        <v>250</v>
      </c>
      <c r="L17" s="102">
        <v>5058</v>
      </c>
      <c r="M17" s="102">
        <v>740</v>
      </c>
      <c r="N17" s="102"/>
      <c r="O17" s="102"/>
      <c r="P17" s="102"/>
      <c r="Q17" s="102"/>
      <c r="R17" s="102"/>
      <c r="S17" s="102"/>
      <c r="T17" s="102"/>
      <c r="U17" s="102"/>
      <c r="V17" s="102"/>
    </row>
    <row r="18" spans="1:22" ht="12.75">
      <c r="A18" s="104" t="s">
        <v>232</v>
      </c>
      <c r="B18" s="102">
        <v>1853</v>
      </c>
      <c r="C18" s="102">
        <v>255</v>
      </c>
      <c r="D18" s="102"/>
      <c r="E18" s="102">
        <v>280</v>
      </c>
      <c r="F18" s="102">
        <v>109</v>
      </c>
      <c r="G18" s="102">
        <v>4889</v>
      </c>
      <c r="H18" s="102">
        <v>12047</v>
      </c>
      <c r="I18" s="102">
        <v>294</v>
      </c>
      <c r="J18" s="102"/>
      <c r="K18" s="102">
        <v>1000</v>
      </c>
      <c r="L18" s="102">
        <v>1320</v>
      </c>
      <c r="M18" s="102">
        <v>150</v>
      </c>
      <c r="N18" s="102">
        <v>1700</v>
      </c>
      <c r="O18" s="102"/>
      <c r="P18" s="102">
        <v>147</v>
      </c>
      <c r="Q18" s="102"/>
      <c r="R18" s="102"/>
      <c r="S18" s="102"/>
      <c r="T18" s="102"/>
      <c r="U18" s="102">
        <v>32</v>
      </c>
      <c r="V18" s="102"/>
    </row>
    <row r="19" spans="1:22" ht="12.75">
      <c r="A19" s="104" t="s">
        <v>233</v>
      </c>
      <c r="B19" s="102">
        <v>150</v>
      </c>
      <c r="C19" s="102">
        <v>215</v>
      </c>
      <c r="D19" s="102"/>
      <c r="E19" s="102"/>
      <c r="F19" s="102"/>
      <c r="G19" s="102">
        <v>7419</v>
      </c>
      <c r="H19" s="102">
        <v>1300</v>
      </c>
      <c r="I19" s="102"/>
      <c r="J19" s="102"/>
      <c r="K19" s="102"/>
      <c r="L19" s="102"/>
      <c r="M19" s="102">
        <v>30</v>
      </c>
      <c r="N19" s="102">
        <v>1350</v>
      </c>
      <c r="O19" s="102"/>
      <c r="P19" s="102">
        <v>1515</v>
      </c>
      <c r="Q19" s="102"/>
      <c r="R19" s="102"/>
      <c r="S19" s="102"/>
      <c r="T19" s="102"/>
      <c r="U19" s="102"/>
      <c r="V19" s="102"/>
    </row>
    <row r="20" spans="1:22" ht="12.75">
      <c r="A20" s="104" t="s">
        <v>234</v>
      </c>
      <c r="B20" s="102">
        <v>170</v>
      </c>
      <c r="C20" s="102"/>
      <c r="D20" s="102"/>
      <c r="E20" s="102"/>
      <c r="F20" s="102"/>
      <c r="G20" s="102"/>
      <c r="H20" s="102"/>
      <c r="I20" s="102"/>
      <c r="J20" s="102"/>
      <c r="K20" s="102"/>
      <c r="L20" s="102"/>
      <c r="M20" s="102"/>
      <c r="N20" s="102"/>
      <c r="O20" s="102"/>
      <c r="P20" s="102">
        <v>408</v>
      </c>
      <c r="Q20" s="102"/>
      <c r="R20" s="102"/>
      <c r="S20" s="102"/>
      <c r="T20" s="102"/>
      <c r="U20" s="102"/>
      <c r="V20" s="102"/>
    </row>
    <row r="21" spans="1:22" ht="12.75">
      <c r="A21" s="104" t="s">
        <v>235</v>
      </c>
      <c r="B21" s="102">
        <v>760</v>
      </c>
      <c r="C21" s="102">
        <v>2295</v>
      </c>
      <c r="D21" s="102"/>
      <c r="E21" s="102">
        <v>1669</v>
      </c>
      <c r="F21" s="102">
        <v>741</v>
      </c>
      <c r="G21" s="102">
        <v>13846</v>
      </c>
      <c r="H21" s="102">
        <v>17670</v>
      </c>
      <c r="I21" s="102">
        <v>15245</v>
      </c>
      <c r="J21" s="102"/>
      <c r="K21" s="102">
        <v>5098</v>
      </c>
      <c r="L21" s="102">
        <v>2840</v>
      </c>
      <c r="M21" s="102">
        <v>642</v>
      </c>
      <c r="N21" s="102">
        <v>6065</v>
      </c>
      <c r="O21" s="102"/>
      <c r="P21" s="102">
        <v>21777</v>
      </c>
      <c r="Q21" s="102"/>
      <c r="R21" s="102"/>
      <c r="S21" s="102"/>
      <c r="T21" s="102"/>
      <c r="U21" s="102">
        <v>245</v>
      </c>
      <c r="V21" s="102"/>
    </row>
    <row r="22" spans="1:22" ht="12.75">
      <c r="A22" s="104" t="s">
        <v>236</v>
      </c>
      <c r="B22" s="102">
        <v>514</v>
      </c>
      <c r="C22" s="102">
        <v>959</v>
      </c>
      <c r="D22" s="102"/>
      <c r="E22" s="102">
        <v>695</v>
      </c>
      <c r="F22" s="102">
        <v>391</v>
      </c>
      <c r="G22" s="102">
        <v>3214</v>
      </c>
      <c r="H22" s="102">
        <v>2481</v>
      </c>
      <c r="I22" s="102">
        <v>6902</v>
      </c>
      <c r="J22" s="102"/>
      <c r="K22" s="102">
        <v>462</v>
      </c>
      <c r="L22" s="102">
        <v>3466</v>
      </c>
      <c r="M22" s="102">
        <v>337</v>
      </c>
      <c r="N22" s="102">
        <v>12983</v>
      </c>
      <c r="O22" s="102"/>
      <c r="P22" s="102">
        <v>1208</v>
      </c>
      <c r="Q22" s="102"/>
      <c r="R22" s="102"/>
      <c r="S22" s="102"/>
      <c r="T22" s="102"/>
      <c r="U22" s="102">
        <v>4994</v>
      </c>
      <c r="V22" s="102"/>
    </row>
    <row r="23" spans="1:22" ht="12.75">
      <c r="A23" s="111" t="s">
        <v>237</v>
      </c>
      <c r="B23" s="108">
        <f>SUM(B17:B22)</f>
        <v>4020</v>
      </c>
      <c r="C23" s="108">
        <f>SUM(C18:C22)</f>
        <v>3724</v>
      </c>
      <c r="D23" s="108">
        <f aca="true" t="shared" si="0" ref="D23:U23">SUM(D17:D22)</f>
        <v>0</v>
      </c>
      <c r="E23" s="108">
        <f t="shared" si="0"/>
        <v>3994</v>
      </c>
      <c r="F23" s="108">
        <f t="shared" si="0"/>
        <v>2801</v>
      </c>
      <c r="G23" s="108">
        <f t="shared" si="0"/>
        <v>30218</v>
      </c>
      <c r="H23" s="108">
        <f>SUM(H17:H22)</f>
        <v>38398</v>
      </c>
      <c r="I23" s="108">
        <f>SUM(I17:I22)</f>
        <v>27941</v>
      </c>
      <c r="J23" s="108">
        <f t="shared" si="0"/>
        <v>0</v>
      </c>
      <c r="K23" s="108">
        <f t="shared" si="0"/>
        <v>6810</v>
      </c>
      <c r="L23" s="108">
        <f t="shared" si="0"/>
        <v>12684</v>
      </c>
      <c r="M23" s="108">
        <f t="shared" si="0"/>
        <v>1899</v>
      </c>
      <c r="N23" s="108">
        <f t="shared" si="0"/>
        <v>22098</v>
      </c>
      <c r="O23" s="108">
        <f t="shared" si="0"/>
        <v>0</v>
      </c>
      <c r="P23" s="108">
        <f t="shared" si="0"/>
        <v>25055</v>
      </c>
      <c r="Q23" s="108">
        <f t="shared" si="0"/>
        <v>0</v>
      </c>
      <c r="R23" s="108">
        <f t="shared" si="0"/>
        <v>0</v>
      </c>
      <c r="S23" s="108">
        <f t="shared" si="0"/>
        <v>0</v>
      </c>
      <c r="T23" s="108">
        <f t="shared" si="0"/>
        <v>0</v>
      </c>
      <c r="U23" s="108">
        <f t="shared" si="0"/>
        <v>5271</v>
      </c>
      <c r="V23" s="102"/>
    </row>
    <row r="24" spans="1:22" ht="12.75">
      <c r="A24" s="102"/>
      <c r="B24" s="102"/>
      <c r="C24" s="102"/>
      <c r="D24" s="102"/>
      <c r="E24" s="102"/>
      <c r="F24" s="102"/>
      <c r="G24" s="102"/>
      <c r="H24" s="102"/>
      <c r="I24" s="102"/>
      <c r="J24" s="102"/>
      <c r="K24" s="102"/>
      <c r="L24" s="102"/>
      <c r="M24" s="102"/>
      <c r="N24" s="102"/>
      <c r="O24" s="102"/>
      <c r="P24" s="102"/>
      <c r="Q24" s="102"/>
      <c r="R24" s="102"/>
      <c r="S24" s="102"/>
      <c r="T24" s="102"/>
      <c r="U24" s="102"/>
      <c r="V24" s="102"/>
    </row>
    <row r="25" spans="1:22" ht="12.75">
      <c r="A25" s="102"/>
      <c r="B25" s="102"/>
      <c r="C25" s="102"/>
      <c r="D25" s="102"/>
      <c r="E25" s="102"/>
      <c r="F25" s="102"/>
      <c r="G25" s="102"/>
      <c r="H25" s="102"/>
      <c r="I25" s="102"/>
      <c r="J25" s="102"/>
      <c r="K25" s="102"/>
      <c r="L25" s="102"/>
      <c r="M25" s="102"/>
      <c r="N25" s="102"/>
      <c r="O25" s="102"/>
      <c r="P25" s="102"/>
      <c r="Q25" s="102"/>
      <c r="R25" s="102"/>
      <c r="S25" s="102"/>
      <c r="T25" s="102"/>
      <c r="U25" s="102"/>
      <c r="V25" s="102"/>
    </row>
    <row r="26" spans="1:22" ht="12.75">
      <c r="A26" s="103" t="s">
        <v>238</v>
      </c>
      <c r="B26" s="102"/>
      <c r="C26" s="102"/>
      <c r="D26" s="102"/>
      <c r="E26" s="102"/>
      <c r="F26" s="102"/>
      <c r="G26" s="102"/>
      <c r="H26" s="102"/>
      <c r="I26" s="102"/>
      <c r="J26" s="102"/>
      <c r="K26" s="102"/>
      <c r="L26" s="102"/>
      <c r="M26" s="102"/>
      <c r="N26" s="102"/>
      <c r="O26" s="102"/>
      <c r="P26" s="102"/>
      <c r="Q26" s="102"/>
      <c r="R26" s="102"/>
      <c r="S26" s="102"/>
      <c r="T26" s="102"/>
      <c r="U26" s="102"/>
      <c r="V26" s="102"/>
    </row>
    <row r="27" spans="1:22" ht="12.75">
      <c r="A27" s="104" t="s">
        <v>239</v>
      </c>
      <c r="B27" s="102">
        <v>205</v>
      </c>
      <c r="C27" s="102">
        <v>692</v>
      </c>
      <c r="D27" s="102"/>
      <c r="E27" s="102">
        <v>742</v>
      </c>
      <c r="F27" s="102">
        <v>227</v>
      </c>
      <c r="G27" s="102">
        <v>6697</v>
      </c>
      <c r="H27" s="102">
        <v>4150</v>
      </c>
      <c r="I27" s="102">
        <v>12022</v>
      </c>
      <c r="J27" s="102"/>
      <c r="K27" s="102">
        <v>1548</v>
      </c>
      <c r="L27" s="102">
        <v>856</v>
      </c>
      <c r="M27" s="102">
        <v>136</v>
      </c>
      <c r="N27" s="102">
        <v>4094</v>
      </c>
      <c r="O27" s="102"/>
      <c r="P27" s="102">
        <f>8049+5094</f>
        <v>13143</v>
      </c>
      <c r="Q27" s="102"/>
      <c r="R27" s="102"/>
      <c r="S27" s="102"/>
      <c r="T27" s="102"/>
      <c r="U27" s="102">
        <v>179</v>
      </c>
      <c r="V27" s="102"/>
    </row>
    <row r="28" spans="1:22" ht="12.75">
      <c r="A28" s="104" t="s">
        <v>240</v>
      </c>
      <c r="B28" s="102">
        <v>175</v>
      </c>
      <c r="C28" s="102">
        <v>84</v>
      </c>
      <c r="D28" s="102"/>
      <c r="E28" s="102">
        <v>25</v>
      </c>
      <c r="F28" s="102">
        <v>59</v>
      </c>
      <c r="G28" s="102">
        <v>184</v>
      </c>
      <c r="H28" s="102">
        <v>1243</v>
      </c>
      <c r="I28" s="102">
        <v>223</v>
      </c>
      <c r="J28" s="102"/>
      <c r="K28" s="102">
        <v>3310</v>
      </c>
      <c r="L28" s="102">
        <v>26</v>
      </c>
      <c r="M28" s="102">
        <v>14</v>
      </c>
      <c r="N28" s="102">
        <v>3</v>
      </c>
      <c r="O28" s="102"/>
      <c r="P28" s="102">
        <v>1150</v>
      </c>
      <c r="Q28" s="102"/>
      <c r="R28" s="102"/>
      <c r="S28" s="102"/>
      <c r="T28" s="102"/>
      <c r="U28" s="102"/>
      <c r="V28" s="102"/>
    </row>
    <row r="29" spans="1:22" ht="12.75">
      <c r="A29" s="104" t="s">
        <v>241</v>
      </c>
      <c r="B29" s="102">
        <v>34</v>
      </c>
      <c r="C29" s="102">
        <v>475</v>
      </c>
      <c r="D29" s="102"/>
      <c r="E29" s="102">
        <v>376</v>
      </c>
      <c r="F29" s="102">
        <v>17</v>
      </c>
      <c r="G29" s="102">
        <v>2026</v>
      </c>
      <c r="H29" s="102">
        <v>3577</v>
      </c>
      <c r="I29" s="102">
        <v>1683</v>
      </c>
      <c r="J29" s="102"/>
      <c r="K29" s="102">
        <v>180</v>
      </c>
      <c r="L29" s="102">
        <v>214</v>
      </c>
      <c r="M29" s="102">
        <v>251</v>
      </c>
      <c r="N29" s="102">
        <v>69</v>
      </c>
      <c r="O29" s="102"/>
      <c r="P29" s="102">
        <v>5412</v>
      </c>
      <c r="Q29" s="102"/>
      <c r="R29" s="102"/>
      <c r="S29" s="102"/>
      <c r="T29" s="102"/>
      <c r="U29" s="102">
        <v>7</v>
      </c>
      <c r="V29" s="102"/>
    </row>
    <row r="30" spans="1:22" ht="12.75">
      <c r="A30" s="104" t="s">
        <v>242</v>
      </c>
      <c r="B30" s="102">
        <v>46</v>
      </c>
      <c r="C30" s="102">
        <v>65</v>
      </c>
      <c r="D30" s="102"/>
      <c r="E30" s="102"/>
      <c r="F30" s="102"/>
      <c r="G30" s="102"/>
      <c r="H30" s="102"/>
      <c r="I30" s="102"/>
      <c r="J30" s="102"/>
      <c r="K30" s="102"/>
      <c r="L30" s="102"/>
      <c r="M30" s="102"/>
      <c r="N30" s="102"/>
      <c r="O30" s="102"/>
      <c r="P30" s="102"/>
      <c r="Q30" s="102"/>
      <c r="R30" s="102"/>
      <c r="S30" s="102"/>
      <c r="T30" s="102"/>
      <c r="U30" s="102"/>
      <c r="V30" s="102"/>
    </row>
    <row r="31" spans="1:22" ht="12.75">
      <c r="A31" s="104" t="s">
        <v>243</v>
      </c>
      <c r="B31" s="102">
        <v>137</v>
      </c>
      <c r="C31" s="102">
        <v>919</v>
      </c>
      <c r="D31" s="102"/>
      <c r="E31" s="102">
        <v>2</v>
      </c>
      <c r="F31" s="102">
        <v>369</v>
      </c>
      <c r="G31" s="102">
        <v>4361</v>
      </c>
      <c r="H31" s="112">
        <v>5000</v>
      </c>
      <c r="I31" s="102">
        <v>884</v>
      </c>
      <c r="J31" s="102"/>
      <c r="K31" s="102"/>
      <c r="L31" s="102">
        <v>143</v>
      </c>
      <c r="M31" s="102"/>
      <c r="N31" s="102">
        <v>1548</v>
      </c>
      <c r="O31" s="102"/>
      <c r="P31" s="102">
        <v>1100</v>
      </c>
      <c r="Q31" s="102"/>
      <c r="R31" s="102"/>
      <c r="S31" s="102"/>
      <c r="T31" s="102"/>
      <c r="U31" s="102">
        <v>34</v>
      </c>
      <c r="V31" s="102"/>
    </row>
    <row r="32" spans="1:22" ht="12.75">
      <c r="A32" s="104" t="s">
        <v>244</v>
      </c>
      <c r="B32" s="102"/>
      <c r="C32" s="102"/>
      <c r="D32" s="102"/>
      <c r="E32" s="102">
        <v>2</v>
      </c>
      <c r="F32" s="102">
        <v>5</v>
      </c>
      <c r="G32" s="102"/>
      <c r="H32" s="102">
        <v>2040</v>
      </c>
      <c r="I32" s="102">
        <v>286</v>
      </c>
      <c r="J32" s="102"/>
      <c r="K32" s="102"/>
      <c r="L32" s="102">
        <v>90</v>
      </c>
      <c r="M32" s="102"/>
      <c r="N32" s="102">
        <v>6</v>
      </c>
      <c r="O32" s="102"/>
      <c r="P32" s="102"/>
      <c r="Q32" s="102"/>
      <c r="R32" s="102"/>
      <c r="S32" s="102"/>
      <c r="T32" s="102"/>
      <c r="U32" s="102">
        <v>3</v>
      </c>
      <c r="V32" s="102"/>
    </row>
    <row r="33" spans="1:22" ht="12.75">
      <c r="A33" s="104" t="s">
        <v>245</v>
      </c>
      <c r="B33" s="102">
        <v>104</v>
      </c>
      <c r="C33" s="102">
        <v>59</v>
      </c>
      <c r="D33" s="102"/>
      <c r="E33" s="102">
        <v>511</v>
      </c>
      <c r="F33" s="102">
        <v>51</v>
      </c>
      <c r="G33" s="102">
        <v>492</v>
      </c>
      <c r="H33" s="102">
        <v>128</v>
      </c>
      <c r="I33" s="102">
        <v>79</v>
      </c>
      <c r="J33" s="102"/>
      <c r="K33" s="102">
        <v>50</v>
      </c>
      <c r="L33" s="102">
        <v>1513</v>
      </c>
      <c r="M33" s="102">
        <v>241</v>
      </c>
      <c r="N33" s="102">
        <v>345</v>
      </c>
      <c r="O33" s="102"/>
      <c r="P33" s="102">
        <v>385</v>
      </c>
      <c r="Q33" s="102"/>
      <c r="R33" s="102"/>
      <c r="S33" s="102"/>
      <c r="T33" s="102"/>
      <c r="U33" s="102">
        <v>22</v>
      </c>
      <c r="V33" s="102"/>
    </row>
    <row r="34" spans="1:22" ht="12.75">
      <c r="A34" s="104" t="s">
        <v>246</v>
      </c>
      <c r="B34" s="102">
        <v>58</v>
      </c>
      <c r="C34" s="102"/>
      <c r="D34" s="102"/>
      <c r="E34" s="102"/>
      <c r="F34" s="102">
        <v>13</v>
      </c>
      <c r="G34" s="102">
        <v>86</v>
      </c>
      <c r="H34" s="102">
        <v>66</v>
      </c>
      <c r="I34" s="102">
        <v>89</v>
      </c>
      <c r="J34" s="102"/>
      <c r="K34" s="102">
        <v>9</v>
      </c>
      <c r="L34" s="102"/>
      <c r="M34" s="102"/>
      <c r="N34" s="102"/>
      <c r="O34" s="102"/>
      <c r="P34" s="102"/>
      <c r="Q34" s="102"/>
      <c r="R34" s="102"/>
      <c r="S34" s="102"/>
      <c r="T34" s="102"/>
      <c r="U34" s="102"/>
      <c r="V34" s="102"/>
    </row>
    <row r="35" spans="1:22" ht="12.75">
      <c r="A35" s="104" t="s">
        <v>247</v>
      </c>
      <c r="B35" s="102"/>
      <c r="C35" s="102"/>
      <c r="D35" s="102"/>
      <c r="E35" s="102">
        <v>11</v>
      </c>
      <c r="F35" s="102"/>
      <c r="G35" s="102"/>
      <c r="H35" s="102"/>
      <c r="I35" s="102"/>
      <c r="J35" s="102"/>
      <c r="K35" s="102"/>
      <c r="L35" s="102"/>
      <c r="M35" s="102"/>
      <c r="N35" s="102"/>
      <c r="O35" s="102"/>
      <c r="P35" s="102">
        <v>587</v>
      </c>
      <c r="Q35" s="102"/>
      <c r="R35" s="102"/>
      <c r="S35" s="102"/>
      <c r="T35" s="102"/>
      <c r="U35" s="102"/>
      <c r="V35" s="102"/>
    </row>
    <row r="36" spans="1:22" ht="12.75">
      <c r="A36" s="111" t="s">
        <v>237</v>
      </c>
      <c r="B36" s="108">
        <f>SUM(B27:B34)</f>
        <v>759</v>
      </c>
      <c r="C36" s="108">
        <f aca="true" t="shared" si="1" ref="C36:U36">SUM(C27:C34)</f>
        <v>2294</v>
      </c>
      <c r="D36" s="108">
        <f t="shared" si="1"/>
        <v>0</v>
      </c>
      <c r="E36" s="108">
        <f>SUM(E27:E35)</f>
        <v>1669</v>
      </c>
      <c r="F36" s="108">
        <f t="shared" si="1"/>
        <v>741</v>
      </c>
      <c r="G36" s="108">
        <f>SUM(G40:G47)</f>
        <v>834</v>
      </c>
      <c r="H36" s="108">
        <f t="shared" si="1"/>
        <v>16204</v>
      </c>
      <c r="I36" s="108">
        <f t="shared" si="1"/>
        <v>15266</v>
      </c>
      <c r="J36" s="108">
        <f t="shared" si="1"/>
        <v>0</v>
      </c>
      <c r="K36" s="108">
        <f t="shared" si="1"/>
        <v>5097</v>
      </c>
      <c r="L36" s="108">
        <f>SUM(L27:L34)</f>
        <v>2842</v>
      </c>
      <c r="M36" s="108">
        <f>SUM(M27:M34)</f>
        <v>642</v>
      </c>
      <c r="N36" s="108">
        <f>SUM(N27:N34)</f>
        <v>6065</v>
      </c>
      <c r="O36" s="108">
        <f t="shared" si="1"/>
        <v>0</v>
      </c>
      <c r="P36" s="108">
        <f t="shared" si="1"/>
        <v>21190</v>
      </c>
      <c r="Q36" s="108">
        <f t="shared" si="1"/>
        <v>0</v>
      </c>
      <c r="R36" s="108">
        <f t="shared" si="1"/>
        <v>0</v>
      </c>
      <c r="S36" s="108">
        <f t="shared" si="1"/>
        <v>0</v>
      </c>
      <c r="T36" s="108">
        <f t="shared" si="1"/>
        <v>0</v>
      </c>
      <c r="U36" s="108">
        <f t="shared" si="1"/>
        <v>245</v>
      </c>
      <c r="V36" s="102"/>
    </row>
    <row r="37" spans="1:22" ht="12.75">
      <c r="A37" s="102"/>
      <c r="B37" s="102"/>
      <c r="C37" s="102"/>
      <c r="D37" s="102"/>
      <c r="E37" s="102"/>
      <c r="F37" s="102"/>
      <c r="G37" s="102"/>
      <c r="H37" s="102"/>
      <c r="I37" s="102"/>
      <c r="J37" s="102"/>
      <c r="K37" s="102"/>
      <c r="L37" s="102"/>
      <c r="M37" s="102"/>
      <c r="N37" s="102"/>
      <c r="O37" s="102"/>
      <c r="P37" s="102"/>
      <c r="Q37" s="102"/>
      <c r="R37" s="102"/>
      <c r="S37" s="102"/>
      <c r="T37" s="102"/>
      <c r="U37" s="102"/>
      <c r="V37" s="102"/>
    </row>
    <row r="38" spans="1:22" ht="12.75">
      <c r="A38" s="102"/>
      <c r="B38" s="102"/>
      <c r="C38" s="102"/>
      <c r="D38" s="102"/>
      <c r="E38" s="102"/>
      <c r="F38" s="102"/>
      <c r="G38" s="102"/>
      <c r="H38" s="102"/>
      <c r="I38" s="102"/>
      <c r="J38" s="102"/>
      <c r="K38" s="102"/>
      <c r="L38" s="102"/>
      <c r="M38" s="102"/>
      <c r="N38" s="102"/>
      <c r="O38" s="102"/>
      <c r="P38" s="102"/>
      <c r="Q38" s="102"/>
      <c r="R38" s="102"/>
      <c r="S38" s="102"/>
      <c r="T38" s="102"/>
      <c r="U38" s="102"/>
      <c r="V38" s="102"/>
    </row>
    <row r="39" spans="1:22" ht="12.75">
      <c r="A39" s="103" t="s">
        <v>248</v>
      </c>
      <c r="B39" s="102"/>
      <c r="C39" s="102"/>
      <c r="D39" s="102"/>
      <c r="E39" s="102"/>
      <c r="F39" s="102"/>
      <c r="G39" s="102"/>
      <c r="H39" s="102"/>
      <c r="I39" s="102"/>
      <c r="J39" s="102"/>
      <c r="K39" s="102"/>
      <c r="L39" s="102"/>
      <c r="M39" s="102"/>
      <c r="N39" s="102"/>
      <c r="O39" s="102"/>
      <c r="P39" s="102"/>
      <c r="Q39" s="102"/>
      <c r="R39" s="102"/>
      <c r="S39" s="102"/>
      <c r="T39" s="102"/>
      <c r="U39" s="102"/>
      <c r="V39" s="102"/>
    </row>
    <row r="40" spans="1:22" ht="12.75">
      <c r="A40" s="104" t="s">
        <v>239</v>
      </c>
      <c r="B40" s="102">
        <v>26</v>
      </c>
      <c r="C40" s="102">
        <v>78</v>
      </c>
      <c r="D40" s="102"/>
      <c r="E40" s="102">
        <v>77</v>
      </c>
      <c r="F40" s="102">
        <v>6</v>
      </c>
      <c r="G40" s="102">
        <v>505</v>
      </c>
      <c r="H40" s="102">
        <v>155</v>
      </c>
      <c r="I40" s="102">
        <v>1171</v>
      </c>
      <c r="J40" s="102"/>
      <c r="K40" s="102">
        <v>44</v>
      </c>
      <c r="L40" s="102">
        <v>115</v>
      </c>
      <c r="M40" s="102">
        <v>21</v>
      </c>
      <c r="N40" s="102">
        <v>437</v>
      </c>
      <c r="O40" s="102"/>
      <c r="P40" s="102">
        <v>1145</v>
      </c>
      <c r="Q40" s="102"/>
      <c r="R40" s="102"/>
      <c r="S40" s="102"/>
      <c r="T40" s="102"/>
      <c r="U40" s="102">
        <v>33</v>
      </c>
      <c r="V40" s="102"/>
    </row>
    <row r="41" spans="1:22" ht="12.75">
      <c r="A41" s="104" t="s">
        <v>240</v>
      </c>
      <c r="B41" s="102">
        <v>18</v>
      </c>
      <c r="C41" s="102">
        <v>27</v>
      </c>
      <c r="D41" s="102"/>
      <c r="E41" s="102">
        <v>8</v>
      </c>
      <c r="F41" s="102">
        <v>15</v>
      </c>
      <c r="G41" s="102">
        <v>32</v>
      </c>
      <c r="H41" s="102">
        <v>340</v>
      </c>
      <c r="I41" s="102">
        <v>59</v>
      </c>
      <c r="J41" s="102"/>
      <c r="K41" s="102">
        <v>364</v>
      </c>
      <c r="L41" s="102">
        <v>11</v>
      </c>
      <c r="M41" s="102">
        <v>6</v>
      </c>
      <c r="N41" s="102">
        <v>1</v>
      </c>
      <c r="O41" s="102"/>
      <c r="P41" s="102">
        <v>404</v>
      </c>
      <c r="Q41" s="102"/>
      <c r="R41" s="102"/>
      <c r="S41" s="102"/>
      <c r="T41" s="102"/>
      <c r="U41" s="102"/>
      <c r="V41" s="102"/>
    </row>
    <row r="42" spans="1:22" ht="12.75">
      <c r="A42" s="104" t="s">
        <v>241</v>
      </c>
      <c r="B42" s="102">
        <v>3</v>
      </c>
      <c r="C42" s="102">
        <v>25</v>
      </c>
      <c r="D42" s="102"/>
      <c r="E42" s="102">
        <v>10</v>
      </c>
      <c r="F42" s="102"/>
      <c r="G42" s="102">
        <v>77</v>
      </c>
      <c r="H42" s="102">
        <v>62</v>
      </c>
      <c r="I42" s="102">
        <v>60</v>
      </c>
      <c r="J42" s="102"/>
      <c r="K42" s="102">
        <v>4</v>
      </c>
      <c r="L42" s="102">
        <v>17</v>
      </c>
      <c r="M42" s="102">
        <v>17</v>
      </c>
      <c r="N42" s="102">
        <v>8</v>
      </c>
      <c r="O42" s="102"/>
      <c r="P42" s="102">
        <v>68</v>
      </c>
      <c r="Q42" s="102"/>
      <c r="R42" s="102"/>
      <c r="S42" s="102"/>
      <c r="T42" s="102"/>
      <c r="U42" s="102">
        <v>1</v>
      </c>
      <c r="V42" s="102"/>
    </row>
    <row r="43" spans="1:22" ht="12.75">
      <c r="A43" s="104" t="s">
        <v>242</v>
      </c>
      <c r="B43" s="102">
        <v>2</v>
      </c>
      <c r="C43" s="102">
        <v>1</v>
      </c>
      <c r="D43" s="102"/>
      <c r="E43" s="102">
        <v>2</v>
      </c>
      <c r="F43" s="102"/>
      <c r="G43" s="102">
        <v>3</v>
      </c>
      <c r="H43" s="102">
        <v>18</v>
      </c>
      <c r="I43" s="102">
        <v>5</v>
      </c>
      <c r="J43" s="102"/>
      <c r="K43" s="102">
        <v>4</v>
      </c>
      <c r="L43" s="102">
        <v>1</v>
      </c>
      <c r="M43" s="102">
        <v>1</v>
      </c>
      <c r="N43" s="102"/>
      <c r="O43" s="102"/>
      <c r="P43" s="102">
        <v>16</v>
      </c>
      <c r="Q43" s="102"/>
      <c r="R43" s="102"/>
      <c r="S43" s="102"/>
      <c r="T43" s="102"/>
      <c r="U43" s="102"/>
      <c r="V43" s="102"/>
    </row>
    <row r="44" spans="1:22" ht="12.75">
      <c r="A44" s="104" t="s">
        <v>249</v>
      </c>
      <c r="B44" s="102">
        <v>13</v>
      </c>
      <c r="C44" s="102">
        <v>42</v>
      </c>
      <c r="D44" s="102"/>
      <c r="E44" s="102">
        <v>1</v>
      </c>
      <c r="F44" s="102">
        <v>6</v>
      </c>
      <c r="G44" s="102">
        <v>188</v>
      </c>
      <c r="H44" s="102">
        <v>202</v>
      </c>
      <c r="I44" s="102">
        <v>46</v>
      </c>
      <c r="J44" s="102"/>
      <c r="K44" s="102">
        <v>1</v>
      </c>
      <c r="L44" s="102">
        <v>17</v>
      </c>
      <c r="M44" s="102"/>
      <c r="N44" s="102">
        <v>100</v>
      </c>
      <c r="O44" s="102"/>
      <c r="P44" s="102">
        <v>106</v>
      </c>
      <c r="Q44" s="102"/>
      <c r="R44" s="102"/>
      <c r="S44" s="102"/>
      <c r="T44" s="102"/>
      <c r="U44" s="102">
        <v>16</v>
      </c>
      <c r="V44" s="102"/>
    </row>
    <row r="45" spans="1:22" ht="12.75">
      <c r="A45" s="104" t="s">
        <v>245</v>
      </c>
      <c r="B45" s="102">
        <v>18</v>
      </c>
      <c r="C45" s="102">
        <v>1</v>
      </c>
      <c r="D45" s="102"/>
      <c r="E45" s="102">
        <v>39</v>
      </c>
      <c r="F45" s="102">
        <v>3</v>
      </c>
      <c r="G45" s="102"/>
      <c r="H45" s="102">
        <v>20</v>
      </c>
      <c r="I45" s="102">
        <v>5</v>
      </c>
      <c r="J45" s="102"/>
      <c r="K45" s="102">
        <v>1</v>
      </c>
      <c r="L45" s="102">
        <v>75</v>
      </c>
      <c r="M45" s="102">
        <v>15</v>
      </c>
      <c r="N45" s="102"/>
      <c r="O45" s="102"/>
      <c r="P45" s="102">
        <v>5</v>
      </c>
      <c r="Q45" s="102"/>
      <c r="R45" s="102"/>
      <c r="S45" s="102"/>
      <c r="T45" s="102"/>
      <c r="U45" s="102"/>
      <c r="V45" s="102"/>
    </row>
    <row r="46" spans="1:22" ht="12.75">
      <c r="A46" s="104" t="s">
        <v>250</v>
      </c>
      <c r="B46" s="102"/>
      <c r="C46" s="102"/>
      <c r="D46" s="102"/>
      <c r="E46" s="102">
        <v>11</v>
      </c>
      <c r="F46" s="102"/>
      <c r="G46" s="102">
        <v>8</v>
      </c>
      <c r="H46" s="102"/>
      <c r="I46" s="102"/>
      <c r="J46" s="102"/>
      <c r="K46" s="102"/>
      <c r="L46" s="102"/>
      <c r="M46" s="102"/>
      <c r="N46" s="102"/>
      <c r="O46" s="102"/>
      <c r="P46" s="102">
        <v>23</v>
      </c>
      <c r="Q46" s="102"/>
      <c r="R46" s="102"/>
      <c r="S46" s="102"/>
      <c r="T46" s="102"/>
      <c r="U46" s="102"/>
      <c r="V46" s="102"/>
    </row>
    <row r="47" spans="1:22" ht="12.75">
      <c r="A47" s="104" t="s">
        <v>246</v>
      </c>
      <c r="B47" s="102">
        <v>4</v>
      </c>
      <c r="C47" s="102"/>
      <c r="D47" s="102"/>
      <c r="E47" s="102"/>
      <c r="F47" s="102"/>
      <c r="G47" s="102">
        <v>21</v>
      </c>
      <c r="H47" s="102">
        <v>13</v>
      </c>
      <c r="I47" s="102">
        <v>13</v>
      </c>
      <c r="J47" s="102"/>
      <c r="K47" s="102">
        <v>2</v>
      </c>
      <c r="L47" s="102"/>
      <c r="M47" s="102"/>
      <c r="N47" s="102"/>
      <c r="O47" s="102"/>
      <c r="P47" s="102"/>
      <c r="Q47" s="102"/>
      <c r="R47" s="102"/>
      <c r="S47" s="102"/>
      <c r="T47" s="102"/>
      <c r="U47" s="102"/>
      <c r="V47" s="102"/>
    </row>
    <row r="48" spans="1:22" ht="12.75">
      <c r="A48" s="111" t="s">
        <v>237</v>
      </c>
      <c r="B48" s="108">
        <f>SUM(B40:B47)</f>
        <v>84</v>
      </c>
      <c r="C48" s="108">
        <f aca="true" t="shared" si="2" ref="C48:U48">SUM(C40:C47)</f>
        <v>174</v>
      </c>
      <c r="D48" s="108">
        <f t="shared" si="2"/>
        <v>0</v>
      </c>
      <c r="E48" s="108">
        <f t="shared" si="2"/>
        <v>148</v>
      </c>
      <c r="F48" s="108">
        <f t="shared" si="2"/>
        <v>30</v>
      </c>
      <c r="G48" s="108">
        <f t="shared" si="2"/>
        <v>834</v>
      </c>
      <c r="H48" s="108">
        <f t="shared" si="2"/>
        <v>810</v>
      </c>
      <c r="I48" s="108">
        <f t="shared" si="2"/>
        <v>1359</v>
      </c>
      <c r="J48" s="108">
        <f t="shared" si="2"/>
        <v>0</v>
      </c>
      <c r="K48" s="108">
        <f t="shared" si="2"/>
        <v>420</v>
      </c>
      <c r="L48" s="108">
        <f t="shared" si="2"/>
        <v>236</v>
      </c>
      <c r="M48" s="108">
        <f t="shared" si="2"/>
        <v>60</v>
      </c>
      <c r="N48" s="108">
        <f t="shared" si="2"/>
        <v>546</v>
      </c>
      <c r="O48" s="108">
        <f t="shared" si="2"/>
        <v>0</v>
      </c>
      <c r="P48" s="108">
        <f t="shared" si="2"/>
        <v>1767</v>
      </c>
      <c r="Q48" s="108">
        <f t="shared" si="2"/>
        <v>0</v>
      </c>
      <c r="R48" s="108">
        <f t="shared" si="2"/>
        <v>0</v>
      </c>
      <c r="S48" s="108">
        <f t="shared" si="2"/>
        <v>0</v>
      </c>
      <c r="T48" s="108">
        <f t="shared" si="2"/>
        <v>0</v>
      </c>
      <c r="U48" s="108">
        <f t="shared" si="2"/>
        <v>50</v>
      </c>
      <c r="V48" s="102"/>
    </row>
    <row r="49" spans="1:22" ht="12.75">
      <c r="A49" s="102"/>
      <c r="B49" s="102"/>
      <c r="C49" s="102"/>
      <c r="D49" s="102"/>
      <c r="E49" s="102"/>
      <c r="F49" s="102"/>
      <c r="G49" s="102"/>
      <c r="H49" s="102"/>
      <c r="I49" s="102"/>
      <c r="J49" s="102"/>
      <c r="K49" s="102"/>
      <c r="L49" s="102"/>
      <c r="M49" s="102"/>
      <c r="N49" s="102"/>
      <c r="O49" s="102"/>
      <c r="P49" s="102"/>
      <c r="Q49" s="102"/>
      <c r="R49" s="102"/>
      <c r="S49" s="102"/>
      <c r="T49" s="102"/>
      <c r="U49" s="102"/>
      <c r="V49" s="102"/>
    </row>
    <row r="50" spans="1:22" ht="12.75">
      <c r="A50" s="103"/>
      <c r="B50" s="102"/>
      <c r="C50" s="102"/>
      <c r="D50" s="102"/>
      <c r="E50" s="102"/>
      <c r="F50" s="102"/>
      <c r="G50" s="102"/>
      <c r="H50" s="102"/>
      <c r="I50" s="102"/>
      <c r="J50" s="102"/>
      <c r="K50" s="102"/>
      <c r="L50" s="102"/>
      <c r="M50" s="102"/>
      <c r="N50" s="102"/>
      <c r="O50" s="102"/>
      <c r="P50" s="102"/>
      <c r="Q50" s="102"/>
      <c r="R50" s="102"/>
      <c r="S50" s="102"/>
      <c r="T50" s="102"/>
      <c r="U50" s="102"/>
      <c r="V50" s="102"/>
    </row>
    <row r="51" spans="1:22" ht="12.75">
      <c r="A51" s="104"/>
      <c r="B51" s="102"/>
      <c r="C51" s="102"/>
      <c r="D51" s="102"/>
      <c r="E51" s="102"/>
      <c r="F51" s="102"/>
      <c r="G51" s="102"/>
      <c r="H51" s="102"/>
      <c r="I51" s="102"/>
      <c r="J51" s="102"/>
      <c r="K51" s="102"/>
      <c r="L51" s="102"/>
      <c r="M51" s="102"/>
      <c r="N51" s="102"/>
      <c r="O51" s="102"/>
      <c r="P51" s="102"/>
      <c r="Q51" s="102"/>
      <c r="R51" s="102"/>
      <c r="S51" s="102"/>
      <c r="T51" s="102"/>
      <c r="U51" s="102"/>
      <c r="V51" s="102"/>
    </row>
    <row r="52" spans="1:22" ht="12.75">
      <c r="A52" s="113" t="s">
        <v>251</v>
      </c>
      <c r="B52" s="114"/>
      <c r="C52" s="114"/>
      <c r="D52" s="114"/>
      <c r="E52" s="114"/>
      <c r="F52" s="114"/>
      <c r="G52" s="114"/>
      <c r="H52" s="114"/>
      <c r="I52" s="114"/>
      <c r="J52" s="114"/>
      <c r="K52" s="114"/>
      <c r="L52" s="114"/>
      <c r="M52" s="114"/>
      <c r="N52" s="114"/>
      <c r="O52" s="114"/>
      <c r="P52" s="114"/>
      <c r="Q52" s="114"/>
      <c r="R52" s="102"/>
      <c r="S52" s="102"/>
      <c r="T52" s="102"/>
      <c r="U52" s="102"/>
      <c r="V52" s="102"/>
    </row>
    <row r="53" spans="1:22" ht="12.75">
      <c r="A53" s="115" t="s">
        <v>252</v>
      </c>
      <c r="B53" s="116">
        <f>SUM(B27:B30)+B32</f>
        <v>460</v>
      </c>
      <c r="C53" s="116">
        <f aca="true" t="shared" si="3" ref="C53:P53">SUM(C27:C30)+C32</f>
        <v>1316</v>
      </c>
      <c r="D53" s="116">
        <f t="shared" si="3"/>
        <v>0</v>
      </c>
      <c r="E53" s="116">
        <f t="shared" si="3"/>
        <v>1145</v>
      </c>
      <c r="F53" s="116">
        <f t="shared" si="3"/>
        <v>308</v>
      </c>
      <c r="G53" s="116">
        <f t="shared" si="3"/>
        <v>8907</v>
      </c>
      <c r="H53" s="116">
        <f t="shared" si="3"/>
        <v>11010</v>
      </c>
      <c r="I53" s="116">
        <f t="shared" si="3"/>
        <v>14214</v>
      </c>
      <c r="J53" s="116">
        <f t="shared" si="3"/>
        <v>0</v>
      </c>
      <c r="K53" s="116">
        <f t="shared" si="3"/>
        <v>5038</v>
      </c>
      <c r="L53" s="116">
        <f t="shared" si="3"/>
        <v>1186</v>
      </c>
      <c r="M53" s="116">
        <f t="shared" si="3"/>
        <v>401</v>
      </c>
      <c r="N53" s="116">
        <f t="shared" si="3"/>
        <v>4172</v>
      </c>
      <c r="O53" s="116">
        <f t="shared" si="3"/>
        <v>0</v>
      </c>
      <c r="P53" s="116">
        <f t="shared" si="3"/>
        <v>19705</v>
      </c>
      <c r="Q53" s="117"/>
      <c r="R53" s="106"/>
      <c r="S53" s="106"/>
      <c r="T53" s="106"/>
      <c r="U53" s="106"/>
      <c r="V53" s="102"/>
    </row>
    <row r="54" spans="1:22" ht="12.75">
      <c r="A54" s="115" t="s">
        <v>253</v>
      </c>
      <c r="B54" s="118">
        <v>0</v>
      </c>
      <c r="C54" s="118">
        <v>1000</v>
      </c>
      <c r="D54" s="118">
        <v>0</v>
      </c>
      <c r="E54" s="118">
        <v>613</v>
      </c>
      <c r="F54" s="118">
        <v>300</v>
      </c>
      <c r="G54" s="118">
        <v>5000</v>
      </c>
      <c r="H54" s="118">
        <v>16000</v>
      </c>
      <c r="I54" s="118">
        <v>8000</v>
      </c>
      <c r="J54" s="118">
        <v>0</v>
      </c>
      <c r="K54" s="118">
        <v>5200</v>
      </c>
      <c r="L54" s="118">
        <v>1340</v>
      </c>
      <c r="M54" s="118">
        <v>200</v>
      </c>
      <c r="N54" s="118">
        <v>2000</v>
      </c>
      <c r="O54" s="118">
        <v>0</v>
      </c>
      <c r="P54" s="118">
        <v>16200</v>
      </c>
      <c r="Q54" s="117"/>
      <c r="R54" s="106"/>
      <c r="S54" s="106"/>
      <c r="T54" s="106"/>
      <c r="U54" s="106"/>
      <c r="V54" s="102"/>
    </row>
    <row r="55" spans="1:22" ht="12.75">
      <c r="A55" s="113" t="s">
        <v>254</v>
      </c>
      <c r="B55" s="114"/>
      <c r="C55" s="119">
        <f>(C53-C54)/C53</f>
        <v>0.24012158054711247</v>
      </c>
      <c r="D55" s="119"/>
      <c r="E55" s="119">
        <f aca="true" t="shared" si="4" ref="E55:P55">(E53-E54)/E53</f>
        <v>0.4646288209606987</v>
      </c>
      <c r="F55" s="119">
        <f t="shared" si="4"/>
        <v>0.025974025974025976</v>
      </c>
      <c r="G55" s="119">
        <f t="shared" si="4"/>
        <v>0.4386437633322106</v>
      </c>
      <c r="H55" s="119">
        <f t="shared" si="4"/>
        <v>-0.45322434150772023</v>
      </c>
      <c r="I55" s="119">
        <f t="shared" si="4"/>
        <v>0.43717461657520756</v>
      </c>
      <c r="J55" s="119"/>
      <c r="K55" s="119">
        <f t="shared" si="4"/>
        <v>-0.03215561730845574</v>
      </c>
      <c r="L55" s="119">
        <f t="shared" si="4"/>
        <v>-0.12984822934232715</v>
      </c>
      <c r="M55" s="119">
        <f t="shared" si="4"/>
        <v>0.5012468827930174</v>
      </c>
      <c r="N55" s="119">
        <f t="shared" si="4"/>
        <v>0.5206136145733461</v>
      </c>
      <c r="O55" s="119"/>
      <c r="P55" s="119">
        <f t="shared" si="4"/>
        <v>0.17787363613296117</v>
      </c>
      <c r="Q55" s="114"/>
      <c r="R55" s="102"/>
      <c r="S55" s="102"/>
      <c r="T55" s="102"/>
      <c r="U55" s="102"/>
      <c r="V55" s="102"/>
    </row>
    <row r="56" spans="1:22" ht="12.75">
      <c r="A56" s="104"/>
      <c r="B56" s="102"/>
      <c r="C56" s="102"/>
      <c r="D56" s="102"/>
      <c r="E56" s="102"/>
      <c r="F56" s="102"/>
      <c r="G56" s="102"/>
      <c r="H56" s="102"/>
      <c r="I56" s="102"/>
      <c r="J56" s="102"/>
      <c r="K56" s="102"/>
      <c r="L56" s="102"/>
      <c r="M56" s="102"/>
      <c r="N56" s="102"/>
      <c r="O56" s="102"/>
      <c r="P56" s="102"/>
      <c r="Q56" s="102"/>
      <c r="R56" s="102"/>
      <c r="S56" s="102"/>
      <c r="T56" s="102"/>
      <c r="U56" s="102"/>
      <c r="V56" s="102"/>
    </row>
    <row r="57" spans="1:22" ht="12.75">
      <c r="A57" s="102"/>
      <c r="B57" s="102"/>
      <c r="C57" s="102"/>
      <c r="D57" s="102"/>
      <c r="E57" s="102"/>
      <c r="F57" s="102"/>
      <c r="G57" s="102"/>
      <c r="H57" s="102"/>
      <c r="I57" s="102"/>
      <c r="J57" s="102"/>
      <c r="K57" s="102"/>
      <c r="L57" s="102"/>
      <c r="M57" s="102"/>
      <c r="N57" s="102"/>
      <c r="O57" s="102"/>
      <c r="P57" s="102"/>
      <c r="Q57" s="102"/>
      <c r="R57" s="102"/>
      <c r="S57" s="102"/>
      <c r="T57" s="102"/>
      <c r="U57" s="102"/>
      <c r="V57" s="102"/>
    </row>
    <row r="58" spans="1:22" ht="12.75">
      <c r="A58" s="111"/>
      <c r="B58" s="102"/>
      <c r="C58" s="102"/>
      <c r="D58" s="102"/>
      <c r="E58" s="102"/>
      <c r="F58" s="102"/>
      <c r="G58" s="102"/>
      <c r="H58" s="102"/>
      <c r="I58" s="102"/>
      <c r="J58" s="102"/>
      <c r="K58" s="102"/>
      <c r="L58" s="102"/>
      <c r="M58" s="102"/>
      <c r="N58" s="102"/>
      <c r="O58" s="102"/>
      <c r="P58" s="102"/>
      <c r="Q58" s="102"/>
      <c r="R58" s="102"/>
      <c r="S58" s="102"/>
      <c r="T58" s="102"/>
      <c r="U58" s="102"/>
      <c r="V58" s="102"/>
    </row>
    <row r="59" spans="1:22" ht="12.75">
      <c r="A59" s="102"/>
      <c r="B59" s="102"/>
      <c r="C59" s="102"/>
      <c r="D59" s="102"/>
      <c r="E59" s="102"/>
      <c r="F59" s="102"/>
      <c r="G59" s="102"/>
      <c r="H59" s="102"/>
      <c r="I59" s="102"/>
      <c r="J59" s="102"/>
      <c r="K59" s="102"/>
      <c r="L59" s="102"/>
      <c r="M59" s="102"/>
      <c r="N59" s="102"/>
      <c r="O59" s="102"/>
      <c r="P59" s="102"/>
      <c r="Q59" s="102"/>
      <c r="R59" s="102"/>
      <c r="S59" s="102"/>
      <c r="T59" s="102"/>
      <c r="U59" s="102"/>
      <c r="V59" s="102"/>
    </row>
    <row r="60" spans="1:22" ht="12.75">
      <c r="A60" s="102"/>
      <c r="B60" s="102"/>
      <c r="C60" s="102"/>
      <c r="D60" s="102"/>
      <c r="E60" s="102"/>
      <c r="F60" s="102"/>
      <c r="G60" s="102"/>
      <c r="H60" s="102"/>
      <c r="I60" s="102"/>
      <c r="J60" s="102"/>
      <c r="K60" s="102"/>
      <c r="L60" s="102"/>
      <c r="M60" s="102"/>
      <c r="N60" s="102"/>
      <c r="O60" s="102"/>
      <c r="P60" s="102"/>
      <c r="Q60" s="102"/>
      <c r="R60" s="102"/>
      <c r="S60" s="102"/>
      <c r="T60" s="102"/>
      <c r="U60" s="102"/>
      <c r="V60" s="102"/>
    </row>
    <row r="61" spans="1:22" ht="12.75">
      <c r="A61" s="102"/>
      <c r="B61" s="102"/>
      <c r="C61" s="102"/>
      <c r="D61" s="102"/>
      <c r="E61" s="102"/>
      <c r="F61" s="102"/>
      <c r="G61" s="102"/>
      <c r="H61" s="102"/>
      <c r="I61" s="102"/>
      <c r="J61" s="102"/>
      <c r="K61" s="102"/>
      <c r="L61" s="102"/>
      <c r="M61" s="102"/>
      <c r="N61" s="102"/>
      <c r="O61" s="102"/>
      <c r="P61" s="102"/>
      <c r="Q61" s="102"/>
      <c r="R61" s="102"/>
      <c r="S61" s="102"/>
      <c r="T61" s="102"/>
      <c r="U61" s="102"/>
      <c r="V61" s="102"/>
    </row>
    <row r="62" spans="1:22" ht="12.75">
      <c r="A62" s="102"/>
      <c r="B62" s="102"/>
      <c r="C62" s="102"/>
      <c r="D62" s="102"/>
      <c r="E62" s="102"/>
      <c r="F62" s="102"/>
      <c r="G62" s="102"/>
      <c r="H62" s="102"/>
      <c r="I62" s="102"/>
      <c r="J62" s="102"/>
      <c r="K62" s="102"/>
      <c r="L62" s="102"/>
      <c r="M62" s="102"/>
      <c r="N62" s="102"/>
      <c r="O62" s="102"/>
      <c r="P62" s="102"/>
      <c r="Q62" s="102"/>
      <c r="R62" s="102"/>
      <c r="S62" s="102"/>
      <c r="T62" s="102"/>
      <c r="U62" s="102"/>
      <c r="V62" s="102"/>
    </row>
    <row r="63" spans="1:22" ht="12.75">
      <c r="A63" s="102"/>
      <c r="B63" s="102"/>
      <c r="C63" s="102"/>
      <c r="D63" s="102"/>
      <c r="E63" s="102"/>
      <c r="F63" s="102"/>
      <c r="G63" s="102"/>
      <c r="H63" s="102"/>
      <c r="I63" s="102"/>
      <c r="J63" s="102"/>
      <c r="K63" s="102"/>
      <c r="L63" s="102"/>
      <c r="M63" s="102"/>
      <c r="N63" s="102"/>
      <c r="O63" s="102"/>
      <c r="P63" s="102"/>
      <c r="Q63" s="102"/>
      <c r="R63" s="102"/>
      <c r="S63" s="102"/>
      <c r="T63" s="102"/>
      <c r="U63" s="102"/>
      <c r="V63" s="102"/>
    </row>
    <row r="64" spans="1:22" ht="12.75">
      <c r="A64" s="102"/>
      <c r="B64" s="102"/>
      <c r="C64" s="102"/>
      <c r="D64" s="102"/>
      <c r="E64" s="102"/>
      <c r="F64" s="102"/>
      <c r="G64" s="102"/>
      <c r="H64" s="102"/>
      <c r="I64" s="102"/>
      <c r="J64" s="102"/>
      <c r="K64" s="102"/>
      <c r="L64" s="102"/>
      <c r="M64" s="102"/>
      <c r="N64" s="102"/>
      <c r="O64" s="102"/>
      <c r="P64" s="102"/>
      <c r="Q64" s="102"/>
      <c r="R64" s="102"/>
      <c r="S64" s="102"/>
      <c r="T64" s="102"/>
      <c r="U64" s="102"/>
      <c r="V64" s="102"/>
    </row>
    <row r="65" spans="1:22" ht="12.75">
      <c r="A65" s="102"/>
      <c r="B65" s="102"/>
      <c r="C65" s="102"/>
      <c r="D65" s="102"/>
      <c r="E65" s="102"/>
      <c r="F65" s="102"/>
      <c r="G65" s="102"/>
      <c r="H65" s="102"/>
      <c r="I65" s="102"/>
      <c r="J65" s="102"/>
      <c r="K65" s="102"/>
      <c r="L65" s="102"/>
      <c r="M65" s="102"/>
      <c r="N65" s="102"/>
      <c r="O65" s="102"/>
      <c r="P65" s="102"/>
      <c r="Q65" s="102"/>
      <c r="R65" s="102"/>
      <c r="S65" s="102"/>
      <c r="T65" s="102"/>
      <c r="U65" s="102"/>
      <c r="V65" s="102"/>
    </row>
    <row r="66" spans="1:22" ht="12.75">
      <c r="A66" s="102"/>
      <c r="B66" s="102"/>
      <c r="C66" s="102"/>
      <c r="D66" s="102"/>
      <c r="E66" s="102"/>
      <c r="F66" s="102"/>
      <c r="G66" s="102"/>
      <c r="H66" s="102"/>
      <c r="I66" s="102"/>
      <c r="J66" s="102"/>
      <c r="K66" s="102"/>
      <c r="L66" s="102"/>
      <c r="M66" s="102"/>
      <c r="N66" s="102"/>
      <c r="O66" s="102"/>
      <c r="P66" s="102"/>
      <c r="Q66" s="102"/>
      <c r="R66" s="102"/>
      <c r="S66" s="102"/>
      <c r="T66" s="102"/>
      <c r="U66" s="102"/>
      <c r="V66" s="102"/>
    </row>
    <row r="67" spans="1:22" ht="12.75">
      <c r="A67" s="102"/>
      <c r="B67" s="102"/>
      <c r="C67" s="102"/>
      <c r="D67" s="102"/>
      <c r="E67" s="102"/>
      <c r="F67" s="102"/>
      <c r="G67" s="102"/>
      <c r="H67" s="102"/>
      <c r="I67" s="102"/>
      <c r="J67" s="102"/>
      <c r="K67" s="102"/>
      <c r="L67" s="102"/>
      <c r="M67" s="102"/>
      <c r="N67" s="102"/>
      <c r="O67" s="102"/>
      <c r="P67" s="102"/>
      <c r="Q67" s="102"/>
      <c r="R67" s="102"/>
      <c r="S67" s="102"/>
      <c r="T67" s="102"/>
      <c r="U67" s="102"/>
      <c r="V67" s="102"/>
    </row>
    <row r="68" spans="1:22" ht="12.75">
      <c r="A68" s="102"/>
      <c r="B68" s="102"/>
      <c r="C68" s="102"/>
      <c r="D68" s="102"/>
      <c r="E68" s="102"/>
      <c r="F68" s="102"/>
      <c r="G68" s="102"/>
      <c r="H68" s="102"/>
      <c r="I68" s="102"/>
      <c r="J68" s="102"/>
      <c r="K68" s="102"/>
      <c r="L68" s="102"/>
      <c r="M68" s="102"/>
      <c r="N68" s="102"/>
      <c r="O68" s="102"/>
      <c r="P68" s="102"/>
      <c r="Q68" s="102"/>
      <c r="R68" s="102"/>
      <c r="S68" s="102"/>
      <c r="T68" s="102"/>
      <c r="U68" s="102"/>
      <c r="V68" s="102"/>
    </row>
    <row r="69" spans="1:22" ht="12.75">
      <c r="A69" s="102"/>
      <c r="B69" s="102"/>
      <c r="C69" s="102"/>
      <c r="D69" s="102"/>
      <c r="E69" s="102"/>
      <c r="F69" s="102"/>
      <c r="G69" s="102"/>
      <c r="H69" s="102"/>
      <c r="I69" s="102"/>
      <c r="J69" s="102"/>
      <c r="K69" s="102"/>
      <c r="L69" s="102"/>
      <c r="M69" s="102"/>
      <c r="N69" s="102"/>
      <c r="O69" s="102"/>
      <c r="P69" s="102"/>
      <c r="Q69" s="102"/>
      <c r="R69" s="102"/>
      <c r="S69" s="102"/>
      <c r="T69" s="102"/>
      <c r="U69" s="102"/>
      <c r="V69" s="102"/>
    </row>
    <row r="70" spans="1:22" ht="12.75">
      <c r="A70" s="102"/>
      <c r="B70" s="102"/>
      <c r="C70" s="102"/>
      <c r="D70" s="102"/>
      <c r="E70" s="102"/>
      <c r="F70" s="102"/>
      <c r="G70" s="102"/>
      <c r="H70" s="102"/>
      <c r="I70" s="102"/>
      <c r="J70" s="102"/>
      <c r="K70" s="102"/>
      <c r="L70" s="102"/>
      <c r="M70" s="102"/>
      <c r="N70" s="102"/>
      <c r="O70" s="102"/>
      <c r="P70" s="102"/>
      <c r="Q70" s="102"/>
      <c r="R70" s="102"/>
      <c r="S70" s="102"/>
      <c r="T70" s="102"/>
      <c r="U70" s="102"/>
      <c r="V70" s="102"/>
    </row>
    <row r="71" spans="1:22" ht="12.75">
      <c r="A71" s="102"/>
      <c r="B71" s="102"/>
      <c r="C71" s="102"/>
      <c r="D71" s="102"/>
      <c r="E71" s="102"/>
      <c r="F71" s="102"/>
      <c r="G71" s="102"/>
      <c r="H71" s="102"/>
      <c r="I71" s="102"/>
      <c r="J71" s="102"/>
      <c r="K71" s="102"/>
      <c r="L71" s="102"/>
      <c r="M71" s="102"/>
      <c r="N71" s="102"/>
      <c r="O71" s="102"/>
      <c r="P71" s="102"/>
      <c r="Q71" s="102"/>
      <c r="R71" s="102"/>
      <c r="S71" s="102"/>
      <c r="T71" s="102"/>
      <c r="U71" s="102"/>
      <c r="V71" s="102"/>
    </row>
    <row r="72" spans="1:22" ht="12.75">
      <c r="A72" s="102"/>
      <c r="B72" s="102"/>
      <c r="C72" s="102"/>
      <c r="D72" s="102"/>
      <c r="E72" s="102"/>
      <c r="F72" s="102"/>
      <c r="G72" s="102"/>
      <c r="H72" s="102"/>
      <c r="I72" s="102"/>
      <c r="J72" s="102"/>
      <c r="K72" s="102"/>
      <c r="L72" s="102"/>
      <c r="M72" s="102"/>
      <c r="N72" s="102"/>
      <c r="O72" s="102"/>
      <c r="P72" s="102"/>
      <c r="Q72" s="102"/>
      <c r="R72" s="102"/>
      <c r="S72" s="102"/>
      <c r="T72" s="102"/>
      <c r="U72" s="102"/>
      <c r="V72" s="102"/>
    </row>
    <row r="73" spans="1:22" ht="12.75">
      <c r="A73" s="102"/>
      <c r="B73" s="102"/>
      <c r="C73" s="102"/>
      <c r="D73" s="102"/>
      <c r="E73" s="102"/>
      <c r="F73" s="102"/>
      <c r="G73" s="102"/>
      <c r="H73" s="102"/>
      <c r="I73" s="102"/>
      <c r="J73" s="102"/>
      <c r="K73" s="102"/>
      <c r="L73" s="102"/>
      <c r="M73" s="102"/>
      <c r="N73" s="102"/>
      <c r="O73" s="102"/>
      <c r="P73" s="102"/>
      <c r="Q73" s="102"/>
      <c r="R73" s="102"/>
      <c r="S73" s="102"/>
      <c r="T73" s="102"/>
      <c r="U73" s="102"/>
      <c r="V73" s="102"/>
    </row>
    <row r="74" spans="1:22" ht="12.75">
      <c r="A74" s="102"/>
      <c r="B74" s="102"/>
      <c r="C74" s="102"/>
      <c r="D74" s="102"/>
      <c r="E74" s="102"/>
      <c r="F74" s="102"/>
      <c r="G74" s="102"/>
      <c r="H74" s="102"/>
      <c r="I74" s="102"/>
      <c r="J74" s="102"/>
      <c r="K74" s="102"/>
      <c r="L74" s="102"/>
      <c r="M74" s="102"/>
      <c r="N74" s="102"/>
      <c r="O74" s="102"/>
      <c r="P74" s="102"/>
      <c r="Q74" s="102"/>
      <c r="R74" s="102"/>
      <c r="S74" s="102"/>
      <c r="T74" s="102"/>
      <c r="U74" s="102"/>
      <c r="V74" s="102"/>
    </row>
  </sheetData>
  <printOptions/>
  <pageMargins left="0.75" right="0.75" top="1" bottom="1"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N63"/>
  <sheetViews>
    <sheetView workbookViewId="0" topLeftCell="A1">
      <selection activeCell="A1" sqref="A1"/>
    </sheetView>
  </sheetViews>
  <sheetFormatPr defaultColWidth="11.421875" defaultRowHeight="12.75"/>
  <cols>
    <col min="1" max="1" width="22.7109375" style="0" customWidth="1"/>
    <col min="2" max="2" width="31.8515625" style="0" bestFit="1" customWidth="1"/>
    <col min="3" max="3" width="7.28125" style="0" bestFit="1" customWidth="1"/>
    <col min="4" max="4" width="6.8515625" style="0" customWidth="1"/>
    <col min="5" max="5" width="7.7109375" style="0" customWidth="1"/>
    <col min="6" max="6" width="8.421875" style="0" customWidth="1"/>
    <col min="7" max="7" width="7.00390625" style="0" customWidth="1"/>
    <col min="8" max="8" width="8.57421875" style="0" customWidth="1"/>
    <col min="9" max="9" width="7.00390625" style="0" customWidth="1"/>
    <col min="10" max="10" width="8.00390625" style="0" customWidth="1"/>
    <col min="11" max="12" width="7.00390625" style="0" customWidth="1"/>
    <col min="13" max="13" width="7.8515625" style="0" customWidth="1"/>
    <col min="14" max="15" width="7.00390625" style="0" customWidth="1"/>
    <col min="16" max="16" width="8.00390625" style="0" customWidth="1"/>
    <col min="17" max="16384" width="9.140625" style="0" customWidth="1"/>
  </cols>
  <sheetData>
    <row r="2" spans="1:14" ht="15.75">
      <c r="A2" s="98"/>
      <c r="B2" s="98" t="s">
        <v>454</v>
      </c>
      <c r="C2" s="98"/>
      <c r="D2" s="83"/>
      <c r="E2" s="83"/>
      <c r="F2" s="83"/>
      <c r="G2" s="81" t="s">
        <v>453</v>
      </c>
      <c r="H2" s="83"/>
      <c r="I2" s="83"/>
      <c r="J2" s="83"/>
      <c r="K2" s="81"/>
      <c r="L2" s="81"/>
      <c r="M2" s="83"/>
      <c r="N2" s="83"/>
    </row>
    <row r="4" spans="3:9" ht="12.75">
      <c r="C4" s="120" t="s">
        <v>275</v>
      </c>
      <c r="D4" s="120" t="s">
        <v>276</v>
      </c>
      <c r="E4" s="120" t="s">
        <v>286</v>
      </c>
      <c r="F4" s="120" t="s">
        <v>287</v>
      </c>
      <c r="G4" s="120" t="s">
        <v>277</v>
      </c>
      <c r="H4" s="120" t="s">
        <v>288</v>
      </c>
      <c r="I4" s="120"/>
    </row>
    <row r="5" spans="3:9" ht="12.75">
      <c r="C5" s="124" t="s">
        <v>280</v>
      </c>
      <c r="D5" s="124" t="s">
        <v>280</v>
      </c>
      <c r="E5" s="124" t="s">
        <v>282</v>
      </c>
      <c r="F5" s="124" t="s">
        <v>283</v>
      </c>
      <c r="G5" s="124" t="s">
        <v>284</v>
      </c>
      <c r="H5" s="124" t="s">
        <v>285</v>
      </c>
      <c r="I5" s="124"/>
    </row>
    <row r="6" spans="3:9" ht="12.75">
      <c r="C6" s="120" t="s">
        <v>279</v>
      </c>
      <c r="D6" s="120" t="s">
        <v>281</v>
      </c>
      <c r="E6" s="120"/>
      <c r="F6" s="120"/>
      <c r="G6" s="120"/>
      <c r="H6" s="120"/>
      <c r="I6" s="120"/>
    </row>
    <row r="7" spans="1:9" ht="12.75">
      <c r="A7" s="123" t="s">
        <v>73</v>
      </c>
      <c r="B7" s="123" t="s">
        <v>278</v>
      </c>
      <c r="C7" s="123">
        <v>12</v>
      </c>
      <c r="D7" s="123">
        <v>12</v>
      </c>
      <c r="E7" s="123">
        <v>14</v>
      </c>
      <c r="F7" s="123">
        <v>14</v>
      </c>
      <c r="G7" s="123" t="s">
        <v>290</v>
      </c>
      <c r="H7" s="123"/>
      <c r="I7" s="123"/>
    </row>
    <row r="8" spans="1:9" ht="12.75">
      <c r="A8" s="123" t="s">
        <v>289</v>
      </c>
      <c r="B8" s="125" t="s">
        <v>270</v>
      </c>
      <c r="C8" s="123">
        <v>9</v>
      </c>
      <c r="D8" s="123">
        <v>8</v>
      </c>
      <c r="E8" s="123">
        <v>28</v>
      </c>
      <c r="F8" s="123">
        <v>21</v>
      </c>
      <c r="G8" s="123"/>
      <c r="H8" s="123"/>
      <c r="I8" s="123"/>
    </row>
    <row r="9" spans="1:9" ht="12.75">
      <c r="A9" s="123" t="s">
        <v>274</v>
      </c>
      <c r="B9" s="125" t="s">
        <v>273</v>
      </c>
      <c r="C9" s="123">
        <v>38000</v>
      </c>
      <c r="D9" s="123">
        <v>32000</v>
      </c>
      <c r="E9" s="123">
        <v>119000</v>
      </c>
      <c r="F9" s="123">
        <v>91000</v>
      </c>
      <c r="G9" s="123"/>
      <c r="H9" s="123"/>
      <c r="I9" s="123"/>
    </row>
    <row r="12" spans="1:3" ht="12.75">
      <c r="A12" t="s">
        <v>354</v>
      </c>
      <c r="B12" t="s">
        <v>355</v>
      </c>
      <c r="C12" t="s">
        <v>356</v>
      </c>
    </row>
    <row r="13" spans="1:3" ht="12.75">
      <c r="A13" t="s">
        <v>357</v>
      </c>
      <c r="B13" t="s">
        <v>358</v>
      </c>
      <c r="C13" t="s">
        <v>359</v>
      </c>
    </row>
    <row r="14" spans="1:4" ht="12.75">
      <c r="A14" t="s">
        <v>360</v>
      </c>
      <c r="B14" s="159">
        <v>73.3</v>
      </c>
      <c r="C14" s="159">
        <v>42.3</v>
      </c>
      <c r="D14" t="s">
        <v>411</v>
      </c>
    </row>
    <row r="15" spans="1:4" ht="12.75">
      <c r="A15" t="s">
        <v>361</v>
      </c>
      <c r="B15" s="159">
        <v>76.9</v>
      </c>
      <c r="C15" s="159">
        <v>27.5</v>
      </c>
      <c r="D15" s="160"/>
    </row>
    <row r="16" spans="1:3" ht="12.75">
      <c r="A16" t="s">
        <v>362</v>
      </c>
      <c r="B16" s="159">
        <v>64.1</v>
      </c>
      <c r="C16" s="159">
        <v>44.2</v>
      </c>
    </row>
    <row r="17" spans="1:3" ht="12.75">
      <c r="A17" t="s">
        <v>363</v>
      </c>
      <c r="B17" s="159">
        <v>69.2</v>
      </c>
      <c r="C17" s="159">
        <v>44.3</v>
      </c>
    </row>
    <row r="18" spans="1:3" ht="12.75">
      <c r="A18" t="s">
        <v>364</v>
      </c>
      <c r="B18" s="159">
        <v>71.8</v>
      </c>
      <c r="C18" s="159">
        <v>43.8</v>
      </c>
    </row>
    <row r="19" spans="1:3" ht="12.75">
      <c r="A19" t="s">
        <v>365</v>
      </c>
      <c r="B19" s="159">
        <v>73.3</v>
      </c>
      <c r="C19" s="159">
        <v>38.1</v>
      </c>
    </row>
    <row r="20" spans="1:3" ht="12.75">
      <c r="A20" t="s">
        <v>366</v>
      </c>
      <c r="B20" s="159">
        <v>74</v>
      </c>
      <c r="C20" s="159">
        <v>43</v>
      </c>
    </row>
    <row r="21" spans="1:3" ht="12.75">
      <c r="A21" t="s">
        <v>367</v>
      </c>
      <c r="B21" s="159">
        <v>77.3</v>
      </c>
      <c r="C21" s="159">
        <v>40.4</v>
      </c>
    </row>
    <row r="22" spans="1:3" ht="12.75">
      <c r="A22" t="s">
        <v>368</v>
      </c>
      <c r="B22" s="159">
        <v>63</v>
      </c>
      <c r="C22" s="159">
        <v>47.3</v>
      </c>
    </row>
    <row r="23" spans="1:3" ht="12.75">
      <c r="A23" t="s">
        <v>369</v>
      </c>
      <c r="B23" s="159">
        <v>61.6</v>
      </c>
      <c r="C23" s="159">
        <v>46.4</v>
      </c>
    </row>
    <row r="24" spans="1:3" ht="12.75">
      <c r="A24" t="s">
        <v>370</v>
      </c>
      <c r="B24" s="159">
        <v>73.3</v>
      </c>
      <c r="C24" s="159">
        <v>44.5</v>
      </c>
    </row>
    <row r="25" spans="1:3" ht="12.75">
      <c r="A25" t="s">
        <v>371</v>
      </c>
      <c r="B25" s="159">
        <v>80.6</v>
      </c>
      <c r="C25" s="159">
        <v>40.2</v>
      </c>
    </row>
    <row r="26" spans="1:3" ht="12.75">
      <c r="A26" t="s">
        <v>372</v>
      </c>
      <c r="B26" s="159">
        <v>73.3</v>
      </c>
      <c r="C26" s="159">
        <v>40.2</v>
      </c>
    </row>
    <row r="27" spans="1:3" ht="12.75">
      <c r="A27" t="s">
        <v>373</v>
      </c>
      <c r="B27" s="159">
        <v>97.5</v>
      </c>
      <c r="C27" s="159">
        <v>32.5</v>
      </c>
    </row>
    <row r="28" spans="1:3" ht="12.75">
      <c r="A28" t="s">
        <v>374</v>
      </c>
      <c r="B28" s="159">
        <v>73.3</v>
      </c>
      <c r="C28" s="159">
        <v>43</v>
      </c>
    </row>
    <row r="29" spans="1:3" ht="12.75">
      <c r="A29" t="s">
        <v>375</v>
      </c>
      <c r="B29" s="159">
        <v>51.3</v>
      </c>
      <c r="C29" s="159">
        <v>49.5</v>
      </c>
    </row>
    <row r="30" spans="1:3" ht="12.75">
      <c r="A30" t="s">
        <v>376</v>
      </c>
      <c r="B30" s="159">
        <v>73.3</v>
      </c>
      <c r="C30" s="159">
        <v>40.2</v>
      </c>
    </row>
    <row r="31" spans="1:3" ht="12.75">
      <c r="A31" t="s">
        <v>377</v>
      </c>
      <c r="B31" s="159">
        <v>73.3</v>
      </c>
      <c r="C31" s="159">
        <v>40.2</v>
      </c>
    </row>
    <row r="32" spans="1:3" ht="12.75">
      <c r="A32" t="s">
        <v>378</v>
      </c>
      <c r="B32" s="159">
        <v>73.3</v>
      </c>
      <c r="C32" s="159">
        <v>40.2</v>
      </c>
    </row>
    <row r="33" spans="1:3" ht="12.75">
      <c r="A33" t="s">
        <v>379</v>
      </c>
      <c r="B33" s="159">
        <v>98.2</v>
      </c>
      <c r="C33" s="159">
        <v>26.7</v>
      </c>
    </row>
    <row r="34" spans="1:3" ht="12.75">
      <c r="A34" t="s">
        <v>380</v>
      </c>
      <c r="B34" s="159">
        <v>94.5</v>
      </c>
      <c r="C34" s="159">
        <v>28.2</v>
      </c>
    </row>
    <row r="35" spans="1:3" ht="12.75">
      <c r="A35" t="s">
        <v>381</v>
      </c>
      <c r="B35" s="159">
        <v>94.5</v>
      </c>
      <c r="C35" s="159">
        <v>25.8</v>
      </c>
    </row>
    <row r="36" spans="1:3" ht="12.75">
      <c r="A36" t="s">
        <v>382</v>
      </c>
      <c r="B36" s="159">
        <v>96</v>
      </c>
      <c r="C36" s="159">
        <v>18.9</v>
      </c>
    </row>
    <row r="37" spans="1:3" ht="12.75">
      <c r="A37" t="s">
        <v>383</v>
      </c>
      <c r="B37" s="159">
        <v>101.1</v>
      </c>
      <c r="C37" s="159">
        <v>11.9</v>
      </c>
    </row>
    <row r="38" spans="1:3" ht="12.75">
      <c r="A38" t="s">
        <v>384</v>
      </c>
      <c r="B38" s="159">
        <v>106.6</v>
      </c>
      <c r="C38" s="159">
        <v>8.9</v>
      </c>
    </row>
    <row r="39" spans="1:3" ht="12.75">
      <c r="A39" t="s">
        <v>385</v>
      </c>
      <c r="B39" s="159">
        <v>97.5</v>
      </c>
      <c r="C39" s="159">
        <v>20.7</v>
      </c>
    </row>
    <row r="40" spans="1:3" ht="12.75">
      <c r="A40" t="s">
        <v>386</v>
      </c>
      <c r="B40" s="159">
        <v>107</v>
      </c>
      <c r="C40" s="159">
        <v>28.2</v>
      </c>
    </row>
    <row r="41" spans="1:3" ht="12.75">
      <c r="A41" t="s">
        <v>387</v>
      </c>
      <c r="B41" s="159">
        <v>107</v>
      </c>
      <c r="C41" s="159">
        <v>28.2</v>
      </c>
    </row>
    <row r="42" spans="1:3" ht="12.75">
      <c r="A42" t="s">
        <v>388</v>
      </c>
      <c r="B42" s="159">
        <v>80.6</v>
      </c>
      <c r="C42" s="159">
        <v>28</v>
      </c>
    </row>
    <row r="43" spans="1:3" ht="12.75">
      <c r="A43" t="s">
        <v>389</v>
      </c>
      <c r="B43" s="159">
        <v>44.7</v>
      </c>
      <c r="C43" s="159">
        <v>38.7</v>
      </c>
    </row>
    <row r="44" spans="1:3" ht="12.75">
      <c r="A44" t="s">
        <v>390</v>
      </c>
      <c r="B44" s="159">
        <v>44.7</v>
      </c>
      <c r="C44" s="159">
        <v>38.7</v>
      </c>
    </row>
    <row r="45" spans="1:3" ht="12.75">
      <c r="A45" t="s">
        <v>391</v>
      </c>
      <c r="B45" s="159">
        <v>259.4</v>
      </c>
      <c r="C45" s="159">
        <v>2.5</v>
      </c>
    </row>
    <row r="46" spans="1:3" ht="12.75">
      <c r="A46" t="s">
        <v>392</v>
      </c>
      <c r="B46" s="159">
        <v>171.8</v>
      </c>
      <c r="C46" s="159">
        <v>7.1</v>
      </c>
    </row>
    <row r="47" spans="1:3" ht="12.75">
      <c r="A47" t="s">
        <v>393</v>
      </c>
      <c r="B47" s="159">
        <v>56.1</v>
      </c>
      <c r="C47" s="159">
        <v>48</v>
      </c>
    </row>
    <row r="48" spans="1:3" ht="12.75">
      <c r="A48" t="s">
        <v>394</v>
      </c>
      <c r="B48" s="159">
        <v>142.9</v>
      </c>
      <c r="C48" s="159" t="s">
        <v>409</v>
      </c>
    </row>
    <row r="49" spans="1:3" ht="12.75">
      <c r="A49" t="s">
        <v>395</v>
      </c>
      <c r="B49" s="159">
        <v>73.3</v>
      </c>
      <c r="C49" s="159">
        <v>40.2</v>
      </c>
    </row>
    <row r="50" spans="1:3" ht="12.75">
      <c r="A50" t="s">
        <v>396</v>
      </c>
      <c r="B50" s="159">
        <v>105.9</v>
      </c>
      <c r="C50" s="159">
        <v>9.8</v>
      </c>
    </row>
    <row r="51" spans="1:3" ht="12.75">
      <c r="A51" t="s">
        <v>397</v>
      </c>
      <c r="B51" s="159">
        <v>0</v>
      </c>
      <c r="C51" s="159">
        <v>15.6</v>
      </c>
    </row>
    <row r="52" spans="1:3" ht="12.75">
      <c r="A52" t="s">
        <v>398</v>
      </c>
      <c r="B52" s="159">
        <v>0</v>
      </c>
      <c r="C52" s="159">
        <v>11.6</v>
      </c>
    </row>
    <row r="53" spans="1:3" ht="12.75">
      <c r="A53" t="s">
        <v>399</v>
      </c>
      <c r="B53" s="159">
        <v>0</v>
      </c>
      <c r="C53" s="159">
        <v>29.5</v>
      </c>
    </row>
    <row r="54" spans="1:3" ht="12.75">
      <c r="A54" t="s">
        <v>400</v>
      </c>
      <c r="B54" s="159">
        <v>0</v>
      </c>
      <c r="C54" s="159">
        <v>27</v>
      </c>
    </row>
    <row r="55" spans="1:3" ht="12.75">
      <c r="A55" t="s">
        <v>401</v>
      </c>
      <c r="B55" s="159">
        <v>0</v>
      </c>
      <c r="C55" s="159">
        <v>27</v>
      </c>
    </row>
    <row r="56" spans="1:3" ht="12.75">
      <c r="A56" t="s">
        <v>402</v>
      </c>
      <c r="B56" s="159">
        <v>0</v>
      </c>
      <c r="C56" s="159">
        <v>27.4</v>
      </c>
    </row>
    <row r="57" spans="1:3" ht="12.75">
      <c r="A57" t="s">
        <v>403</v>
      </c>
      <c r="B57" s="159">
        <v>0</v>
      </c>
      <c r="C57" s="159">
        <v>50.4</v>
      </c>
    </row>
    <row r="58" spans="1:3" ht="12.75">
      <c r="A58" t="s">
        <v>404</v>
      </c>
      <c r="B58" s="159">
        <v>0</v>
      </c>
      <c r="C58" s="159">
        <v>50.4</v>
      </c>
    </row>
    <row r="59" spans="1:3" ht="12.75">
      <c r="A59" t="s">
        <v>405</v>
      </c>
      <c r="B59" s="159">
        <v>0</v>
      </c>
      <c r="C59" s="159">
        <v>50.4</v>
      </c>
    </row>
    <row r="60" spans="1:3" ht="12.75">
      <c r="A60" t="s">
        <v>357</v>
      </c>
      <c r="B60" s="159" t="s">
        <v>410</v>
      </c>
      <c r="C60" s="159" t="s">
        <v>410</v>
      </c>
    </row>
    <row r="61" spans="1:3" ht="12.75">
      <c r="A61" t="s">
        <v>406</v>
      </c>
      <c r="B61" s="159">
        <v>85</v>
      </c>
      <c r="C61" s="159" t="s">
        <v>409</v>
      </c>
    </row>
    <row r="62" spans="1:3" ht="12.75">
      <c r="A62" t="s">
        <v>407</v>
      </c>
      <c r="B62" s="159">
        <v>155.2</v>
      </c>
      <c r="C62" s="159">
        <v>10.1</v>
      </c>
    </row>
    <row r="63" spans="1:3" ht="12.75">
      <c r="A63" t="s">
        <v>408</v>
      </c>
      <c r="B63" s="159">
        <v>54.9</v>
      </c>
      <c r="C63" s="159">
        <v>50</v>
      </c>
    </row>
  </sheetData>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Dansk Gasteknisk Center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Schweitzer</dc:creator>
  <cp:keywords/>
  <dc:description/>
  <cp:lastModifiedBy>Standard</cp:lastModifiedBy>
  <cp:lastPrinted>2009-07-28T08:05:19Z</cp:lastPrinted>
  <dcterms:created xsi:type="dcterms:W3CDTF">2007-01-04T07:16:50Z</dcterms:created>
  <dcterms:modified xsi:type="dcterms:W3CDTF">2009-08-28T17:45:03Z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